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210" windowWidth="10650" windowHeight="8295" tabRatio="932" firstSheet="28" activeTab="35"/>
  </bookViews>
  <sheets>
    <sheet name="1011 GPS FINAL" sheetId="38" r:id="rId1"/>
    <sheet name="1011" sheetId="1" r:id="rId2"/>
    <sheet name="1011 GPS" sheetId="2" r:id="rId3"/>
    <sheet name="1011 ES" sheetId="3" r:id="rId4"/>
    <sheet name="1011 SS" sheetId="4" r:id="rId5"/>
    <sheet name="1021" sheetId="5" r:id="rId6"/>
    <sheet name="1022" sheetId="6" r:id="rId7"/>
    <sheet name="1031" sheetId="7" r:id="rId8"/>
    <sheet name="1031 GPS" sheetId="8" r:id="rId9"/>
    <sheet name="1031 ES" sheetId="9" r:id="rId10"/>
    <sheet name="1031 SS" sheetId="10" r:id="rId11"/>
    <sheet name="1032" sheetId="11" r:id="rId12"/>
    <sheet name="1041" sheetId="12" r:id="rId13"/>
    <sheet name="1061" sheetId="13" r:id="rId14"/>
    <sheet name="1071" sheetId="14" r:id="rId15"/>
    <sheet name="1081" sheetId="15" r:id="rId16"/>
    <sheet name="1091" sheetId="16" r:id="rId17"/>
    <sheet name="1101" sheetId="17" r:id="rId18"/>
    <sheet name="1131" sheetId="18" r:id="rId19"/>
    <sheet name="7611" sheetId="19" r:id="rId20"/>
    <sheet name="8711" sheetId="20" r:id="rId21"/>
    <sheet name="8721" sheetId="21" r:id="rId22"/>
    <sheet name="8751" sheetId="22" r:id="rId23"/>
    <sheet name="4421" sheetId="23" r:id="rId24"/>
    <sheet name="4411" sheetId="35" r:id="rId25"/>
    <sheet name="3361 (1)" sheetId="24" r:id="rId26"/>
    <sheet name="3361 (2)" sheetId="25" r:id="rId27"/>
    <sheet name="1999-GPS" sheetId="26" r:id="rId28"/>
    <sheet name="GF-Infra Social 3999-49-69" sheetId="27" r:id="rId29"/>
    <sheet name="GF-Infra Economic 8752-53" sheetId="28" r:id="rId30"/>
    <sheet name="20% Social 4918-6918" sheetId="29" r:id="rId31"/>
    <sheet name="20% Economic 8918" sheetId="30" r:id="rId32"/>
    <sheet name="1201" sheetId="36" r:id="rId33"/>
    <sheet name="9940" sheetId="32" r:id="rId34"/>
    <sheet name="9999" sheetId="33" r:id="rId35"/>
    <sheet name="Form 1. AB Summary Report 2021" sheetId="39" r:id="rId36"/>
  </sheets>
  <externalReferences>
    <externalReference r:id="rId37"/>
    <externalReference r:id="rId38"/>
    <externalReference r:id="rId39"/>
  </externalReferences>
  <definedNames>
    <definedName name="_1011" localSheetId="1">'[1]1011'!#REF!</definedName>
    <definedName name="_1011" localSheetId="3">'[1]1011'!#REF!</definedName>
    <definedName name="_1011" localSheetId="2">'[1]1011'!#REF!</definedName>
    <definedName name="_1011" localSheetId="0">'[1]1011'!#REF!</definedName>
    <definedName name="_1011" localSheetId="4">'[1]1011'!#REF!</definedName>
    <definedName name="_1011" localSheetId="5">'[1]1011'!#REF!</definedName>
    <definedName name="_1011" localSheetId="6">'[1]1011'!#REF!</definedName>
    <definedName name="_1011" localSheetId="7">'[1]1011'!#REF!</definedName>
    <definedName name="_1011" localSheetId="9">'[1]1011'!#REF!</definedName>
    <definedName name="_1011" localSheetId="8">'[1]1011'!#REF!</definedName>
    <definedName name="_1011" localSheetId="10">'[1]1011'!#REF!</definedName>
    <definedName name="_1011" localSheetId="11">'[1]1011'!#REF!</definedName>
    <definedName name="_1011" localSheetId="12">'[1]1011'!#REF!</definedName>
    <definedName name="_1011" localSheetId="13">'[1]1011'!#REF!</definedName>
    <definedName name="_1011" localSheetId="14">'[1]1011'!#REF!</definedName>
    <definedName name="_1011" localSheetId="15">'[1]1011'!#REF!</definedName>
    <definedName name="_1011" localSheetId="16">'[1]1011'!#REF!</definedName>
    <definedName name="_1011" localSheetId="17">'[1]1011'!#REF!</definedName>
    <definedName name="_1011" localSheetId="18">'[1]1011'!#REF!</definedName>
    <definedName name="_1011" localSheetId="32">'[1]1011'!#REF!</definedName>
    <definedName name="_1011" localSheetId="27">'[1]1011'!#REF!</definedName>
    <definedName name="_1011" localSheetId="31">'[1]1011'!#REF!</definedName>
    <definedName name="_1011" localSheetId="30">'[1]1011'!#REF!</definedName>
    <definedName name="_1011" localSheetId="25">'[1]1011'!#REF!</definedName>
    <definedName name="_1011" localSheetId="26">'[1]1011'!#REF!</definedName>
    <definedName name="_1011" localSheetId="24">'[1]1011'!#REF!</definedName>
    <definedName name="_1011" localSheetId="23">'[1]1011'!#REF!</definedName>
    <definedName name="_1011" localSheetId="19">'[1]1011'!#REF!</definedName>
    <definedName name="_1011" localSheetId="20">'[1]1011'!#REF!</definedName>
    <definedName name="_1011" localSheetId="21">'[1]1011'!#REF!</definedName>
    <definedName name="_1011" localSheetId="22">'[1]1011'!#REF!</definedName>
    <definedName name="_1011" localSheetId="33">'[1]1011'!#REF!</definedName>
    <definedName name="_1011" localSheetId="34">'[1]1011'!#REF!</definedName>
    <definedName name="_1011" localSheetId="29">'[1]1011'!#REF!</definedName>
    <definedName name="_1011" localSheetId="28">'[1]1011'!#REF!</definedName>
    <definedName name="_Fill" localSheetId="1" hidden="1">'[1]1011'!#REF!</definedName>
    <definedName name="_Fill" localSheetId="3" hidden="1">'[1]1011'!#REF!</definedName>
    <definedName name="_Fill" localSheetId="2" hidden="1">'[1]1011'!#REF!</definedName>
    <definedName name="_Fill" localSheetId="0" hidden="1">'[1]1011'!#REF!</definedName>
    <definedName name="_Fill" localSheetId="4" hidden="1">'[1]1011'!#REF!</definedName>
    <definedName name="_Fill" localSheetId="5" hidden="1">'[1]1011'!#REF!</definedName>
    <definedName name="_Fill" localSheetId="6" hidden="1">'[1]1011'!#REF!</definedName>
    <definedName name="_Fill" localSheetId="7" hidden="1">'[1]1011'!#REF!</definedName>
    <definedName name="_Fill" localSheetId="9" hidden="1">'[1]1011'!#REF!</definedName>
    <definedName name="_Fill" localSheetId="8" hidden="1">'[1]1011'!#REF!</definedName>
    <definedName name="_Fill" localSheetId="10" hidden="1">'[1]1011'!#REF!</definedName>
    <definedName name="_Fill" localSheetId="11" hidden="1">'[1]1011'!#REF!</definedName>
    <definedName name="_Fill" localSheetId="12" hidden="1">'[1]1011'!#REF!</definedName>
    <definedName name="_Fill" localSheetId="13" hidden="1">'[1]1011'!#REF!</definedName>
    <definedName name="_Fill" localSheetId="14" hidden="1">'[1]1011'!#REF!</definedName>
    <definedName name="_Fill" localSheetId="15" hidden="1">'[1]1011'!#REF!</definedName>
    <definedName name="_Fill" localSheetId="16" hidden="1">'[1]1011'!#REF!</definedName>
    <definedName name="_Fill" localSheetId="17" hidden="1">'[1]1011'!#REF!</definedName>
    <definedName name="_Fill" localSheetId="18" hidden="1">'[1]1011'!#REF!</definedName>
    <definedName name="_Fill" localSheetId="32" hidden="1">'[1]1011'!#REF!</definedName>
    <definedName name="_Fill" localSheetId="27" hidden="1">'[1]1011'!#REF!</definedName>
    <definedName name="_Fill" localSheetId="31" hidden="1">'[1]1011'!#REF!</definedName>
    <definedName name="_Fill" localSheetId="30" hidden="1">'[1]1011'!#REF!</definedName>
    <definedName name="_Fill" localSheetId="25" hidden="1">'[1]1011'!#REF!</definedName>
    <definedName name="_Fill" localSheetId="26" hidden="1">'[1]1011'!#REF!</definedName>
    <definedName name="_Fill" localSheetId="24" hidden="1">'[1]1011'!#REF!</definedName>
    <definedName name="_Fill" localSheetId="23" hidden="1">'[1]1011'!#REF!</definedName>
    <definedName name="_Fill" localSheetId="19" hidden="1">'[1]1011'!#REF!</definedName>
    <definedName name="_Fill" localSheetId="20" hidden="1">'[1]1011'!#REF!</definedName>
    <definedName name="_Fill" localSheetId="21" hidden="1">'[1]1011'!#REF!</definedName>
    <definedName name="_Fill" localSheetId="22" hidden="1">'[1]1011'!#REF!</definedName>
    <definedName name="_Fill" localSheetId="33" hidden="1">'[1]1011'!#REF!</definedName>
    <definedName name="_Fill" localSheetId="34" hidden="1">'[1]1011'!#REF!</definedName>
    <definedName name="_Fill" localSheetId="29" hidden="1">'[1]1011'!#REF!</definedName>
    <definedName name="_Fill" localSheetId="28" hidden="1">'[1]1011'!#REF!</definedName>
    <definedName name="NAME" localSheetId="1">#REF!</definedName>
    <definedName name="NAME" localSheetId="3">#REF!</definedName>
    <definedName name="NAME" localSheetId="2">#REF!</definedName>
    <definedName name="NAME" localSheetId="0">#REF!</definedName>
    <definedName name="NAME" localSheetId="4">#REF!</definedName>
    <definedName name="NAME" localSheetId="5">#REF!</definedName>
    <definedName name="NAME" localSheetId="6">#REF!</definedName>
    <definedName name="NAME" localSheetId="7">#REF!</definedName>
    <definedName name="NAME" localSheetId="9">#REF!</definedName>
    <definedName name="NAME" localSheetId="8">#REF!</definedName>
    <definedName name="NAME" localSheetId="10">#REF!</definedName>
    <definedName name="NAME" localSheetId="11">#REF!</definedName>
    <definedName name="NAME" localSheetId="12">#REF!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18">#REF!</definedName>
    <definedName name="NAME" localSheetId="32">#REF!</definedName>
    <definedName name="NAME" localSheetId="27">#REF!</definedName>
    <definedName name="NAME" localSheetId="31">#REF!</definedName>
    <definedName name="NAME" localSheetId="30">#REF!</definedName>
    <definedName name="NAME" localSheetId="25">#REF!</definedName>
    <definedName name="NAME" localSheetId="26">#REF!</definedName>
    <definedName name="NAME" localSheetId="24">#REF!</definedName>
    <definedName name="NAME" localSheetId="23">#REF!</definedName>
    <definedName name="NAME" localSheetId="19">#REF!</definedName>
    <definedName name="NAME" localSheetId="20">#REF!</definedName>
    <definedName name="NAME" localSheetId="21">#REF!</definedName>
    <definedName name="NAME" localSheetId="22">#REF!</definedName>
    <definedName name="NAME" localSheetId="33">#REF!</definedName>
    <definedName name="NAME" localSheetId="34">#REF!</definedName>
    <definedName name="NAME" localSheetId="29">#REF!</definedName>
    <definedName name="NAME" localSheetId="28">#REF!</definedName>
    <definedName name="_xlnm.Print_Area" localSheetId="1">'1011'!$A$1:$S$95</definedName>
    <definedName name="_xlnm.Print_Area" localSheetId="3">'1011 ES'!$A$1:$S$93</definedName>
    <definedName name="_xlnm.Print_Area" localSheetId="2">'1011 GPS'!$A$1:$S$93</definedName>
    <definedName name="_xlnm.Print_Area" localSheetId="0">'1011 GPS FINAL'!$A$1:$S$94</definedName>
    <definedName name="_xlnm.Print_Area" localSheetId="4">'1011 SS'!$A$1:$S$93</definedName>
    <definedName name="_xlnm.Print_Area" localSheetId="5">'1021'!$A$1:$S$169</definedName>
    <definedName name="_xlnm.Print_Area" localSheetId="6">'1022'!$A$1:$S$159</definedName>
    <definedName name="_xlnm.Print_Area" localSheetId="7">'1031'!$A$1:$S$158</definedName>
    <definedName name="_xlnm.Print_Area" localSheetId="9">'1031 ES'!$A$1:$S$161</definedName>
    <definedName name="_xlnm.Print_Area" localSheetId="8">'1031 GPS'!$A$1:$S$158</definedName>
    <definedName name="_xlnm.Print_Area" localSheetId="10">'1031 SS'!$A$1:$S$159</definedName>
    <definedName name="_xlnm.Print_Area" localSheetId="11">'1032'!$A$1:$S$161</definedName>
    <definedName name="_xlnm.Print_Area" localSheetId="12">'1041'!$A$1:$S$159</definedName>
    <definedName name="_xlnm.Print_Area" localSheetId="13">'1061'!$A$1:$S$155</definedName>
    <definedName name="_xlnm.Print_Area" localSheetId="14">'1071'!$A$1:$S$159</definedName>
    <definedName name="_xlnm.Print_Area" localSheetId="15">'1081'!$A$1:$S$156</definedName>
    <definedName name="_xlnm.Print_Area" localSheetId="16">'1091'!$A$1:$S$162</definedName>
    <definedName name="_xlnm.Print_Area" localSheetId="17">'1101'!$A$1:$S$160</definedName>
    <definedName name="_xlnm.Print_Area" localSheetId="18">'1131'!$A$1:$S$159</definedName>
    <definedName name="_xlnm.Print_Area" localSheetId="32">'1201'!$A$1:$S$88</definedName>
    <definedName name="_xlnm.Print_Area" localSheetId="27">'1999-GPS'!$A$1:$S$57</definedName>
    <definedName name="_xlnm.Print_Area" localSheetId="31">'20% Economic 8918'!$A$1:$S$34</definedName>
    <definedName name="_xlnm.Print_Area" localSheetId="30">'20% Social 4918-6918'!$A$1:$S$42</definedName>
    <definedName name="_xlnm.Print_Area" localSheetId="26">'3361 (2)'!$A$1:$S$117</definedName>
    <definedName name="_xlnm.Print_Area" localSheetId="24">'4411'!$A$1:$S$156</definedName>
    <definedName name="_xlnm.Print_Area" localSheetId="23">'4421'!$A$1:$S$163</definedName>
    <definedName name="_xlnm.Print_Area" localSheetId="19">'7611'!$A$1:$S$163</definedName>
    <definedName name="_xlnm.Print_Area" localSheetId="20">'8711'!$A$1:$S$159</definedName>
    <definedName name="_xlnm.Print_Area" localSheetId="21">'8721'!$A$1:$S$159</definedName>
    <definedName name="_xlnm.Print_Area" localSheetId="22">'8751'!$A$1:$S$163</definedName>
    <definedName name="_xlnm.Print_Area" localSheetId="33">'9940'!$A$1:$S$128</definedName>
    <definedName name="_xlnm.Print_Area" localSheetId="34">'9999'!$A$1:$S$32</definedName>
    <definedName name="_xlnm.Print_Area" localSheetId="29">'GF-Infra Economic 8752-53'!$A$1:$S$53</definedName>
    <definedName name="_xlnm.Print_Area" localSheetId="28">'GF-Infra Social 3999-49-69'!$A$1:$R$63</definedName>
    <definedName name="_xlnm.Print_Area">#REF!</definedName>
    <definedName name="PRINT_AREA_MI" localSheetId="1">#REF!</definedName>
    <definedName name="PRINT_AREA_MI" localSheetId="3">#REF!</definedName>
    <definedName name="PRINT_AREA_MI" localSheetId="2">#REF!</definedName>
    <definedName name="PRINT_AREA_MI" localSheetId="0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32">#REF!</definedName>
    <definedName name="PRINT_AREA_MI" localSheetId="27">#REF!</definedName>
    <definedName name="PRINT_AREA_MI" localSheetId="31">#REF!</definedName>
    <definedName name="PRINT_AREA_MI" localSheetId="30">#REF!</definedName>
    <definedName name="PRINT_AREA_MI" localSheetId="25">#REF!</definedName>
    <definedName name="PRINT_AREA_MI" localSheetId="26">#REF!</definedName>
    <definedName name="PRINT_AREA_MI" localSheetId="24">#REF!</definedName>
    <definedName name="PRINT_AREA_MI" localSheetId="23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33">#REF!</definedName>
    <definedName name="PRINT_AREA_MI" localSheetId="34">#REF!</definedName>
    <definedName name="PRINT_AREA_MI" localSheetId="29">#REF!</definedName>
    <definedName name="PRINT_AREA_MI" localSheetId="28">#REF!</definedName>
    <definedName name="_xlnm.Print_Titles" localSheetId="1">'1011'!$1:$14</definedName>
    <definedName name="_xlnm.Print_Titles" localSheetId="3">'1011 ES'!$1:$14</definedName>
    <definedName name="_xlnm.Print_Titles" localSheetId="2">'1011 GPS'!$1:$14</definedName>
    <definedName name="_xlnm.Print_Titles" localSheetId="0">'1011 GPS FINAL'!$1:$14</definedName>
    <definedName name="_xlnm.Print_Titles" localSheetId="4">'1011 SS'!$1:$14</definedName>
    <definedName name="_xlnm.Print_Titles" localSheetId="5">'1021'!$1:$14</definedName>
    <definedName name="_xlnm.Print_Titles" localSheetId="6">'1022'!$1:$13</definedName>
    <definedName name="_xlnm.Print_Titles" localSheetId="7">'1031'!$1:$13</definedName>
    <definedName name="_xlnm.Print_Titles" localSheetId="9">'1031 ES'!$1:$13</definedName>
    <definedName name="_xlnm.Print_Titles" localSheetId="8">'1031 GPS'!$1:$13</definedName>
    <definedName name="_xlnm.Print_Titles" localSheetId="10">'1031 SS'!$1:$13</definedName>
    <definedName name="_xlnm.Print_Titles" localSheetId="11">'1032'!$1:$14</definedName>
    <definedName name="_xlnm.Print_Titles" localSheetId="12">'1041'!$1:$14</definedName>
    <definedName name="_xlnm.Print_Titles" localSheetId="13">'1061'!$1:$14</definedName>
    <definedName name="_xlnm.Print_Titles" localSheetId="14">'1071'!$1:$14</definedName>
    <definedName name="_xlnm.Print_Titles" localSheetId="15">'1081'!$1:$14</definedName>
    <definedName name="_xlnm.Print_Titles" localSheetId="16">'1091'!$1:$14</definedName>
    <definedName name="_xlnm.Print_Titles" localSheetId="17">'1101'!$1:$14</definedName>
    <definedName name="_xlnm.Print_Titles" localSheetId="18">'1131'!$1:$14</definedName>
    <definedName name="_xlnm.Print_Titles" localSheetId="32">'1201'!$1:$14</definedName>
    <definedName name="_xlnm.Print_Titles" localSheetId="27">'1999-GPS'!$1:$14</definedName>
    <definedName name="_xlnm.Print_Titles" localSheetId="31">'20% Economic 8918'!$1:$14</definedName>
    <definedName name="_xlnm.Print_Titles" localSheetId="30">'20% Social 4918-6918'!$1:$14</definedName>
    <definedName name="_xlnm.Print_Titles" localSheetId="25">'3361 (1)'!$1:$14</definedName>
    <definedName name="_xlnm.Print_Titles" localSheetId="26">'3361 (2)'!$1:$14</definedName>
    <definedName name="_xlnm.Print_Titles" localSheetId="24">'4411'!$1:$14</definedName>
    <definedName name="_xlnm.Print_Titles" localSheetId="23">'4421'!$1:$14</definedName>
    <definedName name="_xlnm.Print_Titles" localSheetId="19">'7611'!$1:$14</definedName>
    <definedName name="_xlnm.Print_Titles" localSheetId="20">'8711'!$1:$14</definedName>
    <definedName name="_xlnm.Print_Titles" localSheetId="21">'8721'!$1:$14</definedName>
    <definedName name="_xlnm.Print_Titles" localSheetId="22">'8751'!$1:$14</definedName>
    <definedName name="_xlnm.Print_Titles" localSheetId="33">'9940'!$1:$14</definedName>
    <definedName name="_xlnm.Print_Titles" localSheetId="34">'9999'!$1:$14</definedName>
    <definedName name="_xlnm.Print_Titles" localSheetId="29">'GF-Infra Economic 8752-53'!$1:$14</definedName>
    <definedName name="_xlnm.Print_Titles" localSheetId="28">'GF-Infra Social 3999-49-69'!$1:$14</definedName>
    <definedName name="_xlnm.Print_Titles">#REF!</definedName>
    <definedName name="PRINT_TITLES_MI" localSheetId="1">#REF!</definedName>
    <definedName name="PRINT_TITLES_MI" localSheetId="3">#REF!</definedName>
    <definedName name="PRINT_TITLES_MI" localSheetId="2">#REF!</definedName>
    <definedName name="PRINT_TITLES_MI" localSheetId="0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9">#REF!</definedName>
    <definedName name="PRINT_TITLES_MI" localSheetId="8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32">#REF!</definedName>
    <definedName name="PRINT_TITLES_MI" localSheetId="27">#REF!</definedName>
    <definedName name="PRINT_TITLES_MI" localSheetId="31">#REF!</definedName>
    <definedName name="PRINT_TITLES_MI" localSheetId="30">#REF!</definedName>
    <definedName name="PRINT_TITLES_MI" localSheetId="25">#REF!</definedName>
    <definedName name="PRINT_TITLES_MI" localSheetId="26">#REF!</definedName>
    <definedName name="PRINT_TITLES_MI" localSheetId="24">#REF!</definedName>
    <definedName name="PRINT_TITLES_MI" localSheetId="23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33">#REF!</definedName>
    <definedName name="PRINT_TITLES_MI" localSheetId="34">#REF!</definedName>
    <definedName name="PRINT_TITLES_MI" localSheetId="29">#REF!</definedName>
    <definedName name="PRINT_TITLES_MI" localSheetId="28">#REF!</definedName>
    <definedName name="Z_1998FCB8_1FEB_4076_ACE6_A225EE4366B3_.wvu.PrintArea" localSheetId="1" hidden="1">'1011'!$A$1:$S$95</definedName>
    <definedName name="Z_1998FCB8_1FEB_4076_ACE6_A225EE4366B3_.wvu.PrintArea" localSheetId="3" hidden="1">'1011 ES'!$A$1:$S$93</definedName>
    <definedName name="Z_1998FCB8_1FEB_4076_ACE6_A225EE4366B3_.wvu.PrintArea" localSheetId="2" hidden="1">'1011 GPS'!$A$1:$S$93</definedName>
    <definedName name="Z_1998FCB8_1FEB_4076_ACE6_A225EE4366B3_.wvu.PrintArea" localSheetId="0" hidden="1">'1011 GPS FINAL'!$A$1:$S$94</definedName>
    <definedName name="Z_1998FCB8_1FEB_4076_ACE6_A225EE4366B3_.wvu.PrintArea" localSheetId="4" hidden="1">'1011 SS'!$A$1:$S$93</definedName>
    <definedName name="Z_1998FCB8_1FEB_4076_ACE6_A225EE4366B3_.wvu.PrintArea" localSheetId="5" hidden="1">'1021'!$A$1:$S$169</definedName>
    <definedName name="Z_1998FCB8_1FEB_4076_ACE6_A225EE4366B3_.wvu.PrintArea" localSheetId="6" hidden="1">'1022'!$A$1:$S$159</definedName>
    <definedName name="Z_1998FCB8_1FEB_4076_ACE6_A225EE4366B3_.wvu.PrintArea" localSheetId="7" hidden="1">'1031'!$A$1:$S$158</definedName>
    <definedName name="Z_1998FCB8_1FEB_4076_ACE6_A225EE4366B3_.wvu.PrintArea" localSheetId="9" hidden="1">'1031 ES'!$A$1:$S$161</definedName>
    <definedName name="Z_1998FCB8_1FEB_4076_ACE6_A225EE4366B3_.wvu.PrintArea" localSheetId="8" hidden="1">'1031 GPS'!$A$1:$S$158</definedName>
    <definedName name="Z_1998FCB8_1FEB_4076_ACE6_A225EE4366B3_.wvu.PrintArea" localSheetId="10" hidden="1">'1031 SS'!$A$1:$S$159</definedName>
    <definedName name="Z_1998FCB8_1FEB_4076_ACE6_A225EE4366B3_.wvu.PrintArea" localSheetId="11" hidden="1">'1032'!$A$1:$S$161</definedName>
    <definedName name="Z_1998FCB8_1FEB_4076_ACE6_A225EE4366B3_.wvu.PrintArea" localSheetId="12" hidden="1">'1041'!$A$1:$S$159</definedName>
    <definedName name="Z_1998FCB8_1FEB_4076_ACE6_A225EE4366B3_.wvu.PrintArea" localSheetId="13" hidden="1">'1061'!$A$1:$S$155</definedName>
    <definedName name="Z_1998FCB8_1FEB_4076_ACE6_A225EE4366B3_.wvu.PrintArea" localSheetId="14" hidden="1">'1071'!$A$1:$S$159</definedName>
    <definedName name="Z_1998FCB8_1FEB_4076_ACE6_A225EE4366B3_.wvu.PrintArea" localSheetId="15" hidden="1">'1081'!$A$1:$S$156</definedName>
    <definedName name="Z_1998FCB8_1FEB_4076_ACE6_A225EE4366B3_.wvu.PrintArea" localSheetId="16" hidden="1">'1091'!$A$1:$S$162</definedName>
    <definedName name="Z_1998FCB8_1FEB_4076_ACE6_A225EE4366B3_.wvu.PrintArea" localSheetId="17" hidden="1">'1101'!$A$1:$S$160</definedName>
    <definedName name="Z_1998FCB8_1FEB_4076_ACE6_A225EE4366B3_.wvu.PrintArea" localSheetId="18" hidden="1">'1131'!$A$1:$S$159</definedName>
    <definedName name="Z_1998FCB8_1FEB_4076_ACE6_A225EE4366B3_.wvu.PrintArea" localSheetId="32" hidden="1">'1201'!$A$1:$S$88</definedName>
    <definedName name="Z_1998FCB8_1FEB_4076_ACE6_A225EE4366B3_.wvu.PrintArea" localSheetId="27" hidden="1">'1999-GPS'!$A$1:$S$57</definedName>
    <definedName name="Z_1998FCB8_1FEB_4076_ACE6_A225EE4366B3_.wvu.PrintArea" localSheetId="31" hidden="1">'20% Economic 8918'!$A$1:$S$34</definedName>
    <definedName name="Z_1998FCB8_1FEB_4076_ACE6_A225EE4366B3_.wvu.PrintArea" localSheetId="30" hidden="1">'20% Social 4918-6918'!$A$1:$S$42</definedName>
    <definedName name="Z_1998FCB8_1FEB_4076_ACE6_A225EE4366B3_.wvu.PrintArea" localSheetId="25" hidden="1">'3361 (1)'!$A$1:$S$129</definedName>
    <definedName name="Z_1998FCB8_1FEB_4076_ACE6_A225EE4366B3_.wvu.PrintArea" localSheetId="26" hidden="1">'3361 (2)'!$A$1:$S$117</definedName>
    <definedName name="Z_1998FCB8_1FEB_4076_ACE6_A225EE4366B3_.wvu.PrintArea" localSheetId="24" hidden="1">'4411'!$A$1:$S$156</definedName>
    <definedName name="Z_1998FCB8_1FEB_4076_ACE6_A225EE4366B3_.wvu.PrintArea" localSheetId="23" hidden="1">'4421'!$A$1:$S$163</definedName>
    <definedName name="Z_1998FCB8_1FEB_4076_ACE6_A225EE4366B3_.wvu.PrintArea" localSheetId="19" hidden="1">'7611'!$A$1:$S$163</definedName>
    <definedName name="Z_1998FCB8_1FEB_4076_ACE6_A225EE4366B3_.wvu.PrintArea" localSheetId="20" hidden="1">'8711'!$A$1:$S$159</definedName>
    <definedName name="Z_1998FCB8_1FEB_4076_ACE6_A225EE4366B3_.wvu.PrintArea" localSheetId="21" hidden="1">'8721'!$A$1:$S$159</definedName>
    <definedName name="Z_1998FCB8_1FEB_4076_ACE6_A225EE4366B3_.wvu.PrintArea" localSheetId="22" hidden="1">'8751'!$A$1:$S$163</definedName>
    <definedName name="Z_1998FCB8_1FEB_4076_ACE6_A225EE4366B3_.wvu.PrintArea" localSheetId="33" hidden="1">'9940'!$A$1:$S$128</definedName>
    <definedName name="Z_1998FCB8_1FEB_4076_ACE6_A225EE4366B3_.wvu.PrintArea" localSheetId="34" hidden="1">'9999'!$A$1:$S$32</definedName>
    <definedName name="Z_1998FCB8_1FEB_4076_ACE6_A225EE4366B3_.wvu.PrintArea" localSheetId="29" hidden="1">'GF-Infra Economic 8752-53'!$A$1:$S$53</definedName>
    <definedName name="Z_1998FCB8_1FEB_4076_ACE6_A225EE4366B3_.wvu.PrintArea" localSheetId="28" hidden="1">'GF-Infra Social 3999-49-69'!$A$1:$S$63</definedName>
    <definedName name="Z_1998FCB8_1FEB_4076_ACE6_A225EE4366B3_.wvu.PrintTitles" localSheetId="1" hidden="1">'1011'!$1:$14</definedName>
    <definedName name="Z_1998FCB8_1FEB_4076_ACE6_A225EE4366B3_.wvu.PrintTitles" localSheetId="3" hidden="1">'1011 ES'!$1:$14</definedName>
    <definedName name="Z_1998FCB8_1FEB_4076_ACE6_A225EE4366B3_.wvu.PrintTitles" localSheetId="2" hidden="1">'1011 GPS'!$1:$14</definedName>
    <definedName name="Z_1998FCB8_1FEB_4076_ACE6_A225EE4366B3_.wvu.PrintTitles" localSheetId="0" hidden="1">'1011 GPS FINAL'!$1:$14</definedName>
    <definedName name="Z_1998FCB8_1FEB_4076_ACE6_A225EE4366B3_.wvu.PrintTitles" localSheetId="4" hidden="1">'1011 SS'!$1:$14</definedName>
    <definedName name="Z_1998FCB8_1FEB_4076_ACE6_A225EE4366B3_.wvu.PrintTitles" localSheetId="5" hidden="1">'1021'!$1:$14</definedName>
    <definedName name="Z_1998FCB8_1FEB_4076_ACE6_A225EE4366B3_.wvu.PrintTitles" localSheetId="6" hidden="1">'1022'!$1:$13</definedName>
    <definedName name="Z_1998FCB8_1FEB_4076_ACE6_A225EE4366B3_.wvu.PrintTitles" localSheetId="7" hidden="1">'1031'!$1:$13</definedName>
    <definedName name="Z_1998FCB8_1FEB_4076_ACE6_A225EE4366B3_.wvu.PrintTitles" localSheetId="9" hidden="1">'1031 ES'!$1:$13</definedName>
    <definedName name="Z_1998FCB8_1FEB_4076_ACE6_A225EE4366B3_.wvu.PrintTitles" localSheetId="8" hidden="1">'1031 GPS'!$1:$13</definedName>
    <definedName name="Z_1998FCB8_1FEB_4076_ACE6_A225EE4366B3_.wvu.PrintTitles" localSheetId="10" hidden="1">'1031 SS'!$1:$13</definedName>
    <definedName name="Z_1998FCB8_1FEB_4076_ACE6_A225EE4366B3_.wvu.PrintTitles" localSheetId="11" hidden="1">'1032'!$1:$14</definedName>
    <definedName name="Z_1998FCB8_1FEB_4076_ACE6_A225EE4366B3_.wvu.PrintTitles" localSheetId="12" hidden="1">'1041'!$1:$14</definedName>
    <definedName name="Z_1998FCB8_1FEB_4076_ACE6_A225EE4366B3_.wvu.PrintTitles" localSheetId="13" hidden="1">'1061'!$1:$14</definedName>
    <definedName name="Z_1998FCB8_1FEB_4076_ACE6_A225EE4366B3_.wvu.PrintTitles" localSheetId="14" hidden="1">'1071'!$1:$14</definedName>
    <definedName name="Z_1998FCB8_1FEB_4076_ACE6_A225EE4366B3_.wvu.PrintTitles" localSheetId="15" hidden="1">'1081'!$1:$14</definedName>
    <definedName name="Z_1998FCB8_1FEB_4076_ACE6_A225EE4366B3_.wvu.PrintTitles" localSheetId="16" hidden="1">'1091'!$1:$14</definedName>
    <definedName name="Z_1998FCB8_1FEB_4076_ACE6_A225EE4366B3_.wvu.PrintTitles" localSheetId="17" hidden="1">'1101'!$1:$14</definedName>
    <definedName name="Z_1998FCB8_1FEB_4076_ACE6_A225EE4366B3_.wvu.PrintTitles" localSheetId="18" hidden="1">'1131'!$1:$14</definedName>
    <definedName name="Z_1998FCB8_1FEB_4076_ACE6_A225EE4366B3_.wvu.PrintTitles" localSheetId="32" hidden="1">'1201'!$1:$14</definedName>
    <definedName name="Z_1998FCB8_1FEB_4076_ACE6_A225EE4366B3_.wvu.PrintTitles" localSheetId="27" hidden="1">'1999-GPS'!$1:$14</definedName>
    <definedName name="Z_1998FCB8_1FEB_4076_ACE6_A225EE4366B3_.wvu.PrintTitles" localSheetId="31" hidden="1">'20% Economic 8918'!$1:$14</definedName>
    <definedName name="Z_1998FCB8_1FEB_4076_ACE6_A225EE4366B3_.wvu.PrintTitles" localSheetId="30" hidden="1">'20% Social 4918-6918'!$1:$14</definedName>
    <definedName name="Z_1998FCB8_1FEB_4076_ACE6_A225EE4366B3_.wvu.PrintTitles" localSheetId="25" hidden="1">'3361 (1)'!$1:$14</definedName>
    <definedName name="Z_1998FCB8_1FEB_4076_ACE6_A225EE4366B3_.wvu.PrintTitles" localSheetId="26" hidden="1">'3361 (2)'!$1:$14</definedName>
    <definedName name="Z_1998FCB8_1FEB_4076_ACE6_A225EE4366B3_.wvu.PrintTitles" localSheetId="24" hidden="1">'4411'!$1:$14</definedName>
    <definedName name="Z_1998FCB8_1FEB_4076_ACE6_A225EE4366B3_.wvu.PrintTitles" localSheetId="23" hidden="1">'4421'!$1:$14</definedName>
    <definedName name="Z_1998FCB8_1FEB_4076_ACE6_A225EE4366B3_.wvu.PrintTitles" localSheetId="19" hidden="1">'7611'!$1:$14</definedName>
    <definedName name="Z_1998FCB8_1FEB_4076_ACE6_A225EE4366B3_.wvu.PrintTitles" localSheetId="20" hidden="1">'8711'!$1:$14</definedName>
    <definedName name="Z_1998FCB8_1FEB_4076_ACE6_A225EE4366B3_.wvu.PrintTitles" localSheetId="21" hidden="1">'8721'!$1:$14</definedName>
    <definedName name="Z_1998FCB8_1FEB_4076_ACE6_A225EE4366B3_.wvu.PrintTitles" localSheetId="22" hidden="1">'8751'!$1:$14</definedName>
    <definedName name="Z_1998FCB8_1FEB_4076_ACE6_A225EE4366B3_.wvu.PrintTitles" localSheetId="33" hidden="1">'9940'!$1:$14</definedName>
    <definedName name="Z_1998FCB8_1FEB_4076_ACE6_A225EE4366B3_.wvu.PrintTitles" localSheetId="34" hidden="1">'9999'!$1:$14</definedName>
    <definedName name="Z_1998FCB8_1FEB_4076_ACE6_A225EE4366B3_.wvu.PrintTitles" localSheetId="29" hidden="1">'GF-Infra Economic 8752-53'!$1:$14</definedName>
    <definedName name="Z_1998FCB8_1FEB_4076_ACE6_A225EE4366B3_.wvu.PrintTitles" localSheetId="28" hidden="1">'GF-Infra Social 3999-49-69'!$1:$14</definedName>
    <definedName name="Z_1998FCB8_1FEB_4076_ACE6_A225EE4366B3_.wvu.Rows" localSheetId="1" hidden="1">'1011'!$22:$22,'1011'!$58:$59,'1011'!$74:$74,'1011'!$82:$83</definedName>
    <definedName name="Z_1998FCB8_1FEB_4076_ACE6_A225EE4366B3_.wvu.Rows" localSheetId="3" hidden="1">'1011 ES'!$17:$17,'1011 ES'!$19:$20,'1011 ES'!$22:$24,'1011 ES'!$32:$32,'1011 ES'!$38:$42,'1011 ES'!$44:$56,'1011 ES'!$58:$61,'1011 ES'!$63:$67,'1011 ES'!$72:$77,'1011 ES'!$79:$79,'1011 ES'!$81:$82</definedName>
    <definedName name="Z_1998FCB8_1FEB_4076_ACE6_A225EE4366B3_.wvu.Rows" localSheetId="2" hidden="1">'1011 GPS'!$22:$22,'1011 GPS'!$73:$73</definedName>
    <definedName name="Z_1998FCB8_1FEB_4076_ACE6_A225EE4366B3_.wvu.Rows" localSheetId="0" hidden="1">'1011 GPS FINAL'!$22:$22,'1011 GPS FINAL'!$73:$73</definedName>
    <definedName name="Z_1998FCB8_1FEB_4076_ACE6_A225EE4366B3_.wvu.Rows" localSheetId="4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1998FCB8_1FEB_4076_ACE6_A225EE4366B3_.wvu.Rows" localSheetId="5" hidden="1">'1021'!$22:$26,'1021'!$28:$29,'1021'!$37:$38,'1021'!$41:$41,'1021'!$46:$46,'1021'!$48:$54,'1021'!$56:$60,'1021'!$62:$65,'1021'!$67:$91,'1021'!$93:$94,'1021'!$96:$109,'1021'!$115:$125,'1021'!$127:$133,'1021'!$135:$148,'1021'!$156:$162</definedName>
    <definedName name="Z_1998FCB8_1FEB_4076_ACE6_A225EE4366B3_.wvu.Rows" localSheetId="6" hidden="1">'1022'!$17:$17,'1022'!$22:$26,'1022'!$28:$29,'1022'!$37:$38,'1022'!$41:$41,'1022'!$46:$46,'1022'!$48:$54,'1022'!$56:$60,'1022'!$62:$64,'1022'!$68:$69,'1022'!$72:$72,'1022'!$76:$79,'1022'!$82:$111,'1022'!$114:$124,'1022'!$127:$132,'1022'!$135:$147</definedName>
    <definedName name="Z_1998FCB8_1FEB_4076_ACE6_A225EE4366B3_.wvu.Rows" localSheetId="7" hidden="1">'1031'!$16:$16,'1031'!$21:$25,'1031'!$27:$28,'1031'!$36:$37,'1031'!$40:$40,'1031'!$47:$50,'1031'!$52:$54,'1031'!$56:$57,'1031'!$59:$60,'1031'!$64:$64,'1031'!$68:$68,'1031'!$70:$91,'1031'!$93:$107,'1031'!$115:$125,'1031'!$127:$131,'1031'!$133:$135,'1031'!$137:$145,'1031'!$147:$148</definedName>
    <definedName name="Z_1998FCB8_1FEB_4076_ACE6_A225EE4366B3_.wvu.Rows" localSheetId="9" hidden="1">'1031 ES'!$16:$16,'1031 ES'!$18:$19,'1031 ES'!$21:$28,'1031 ES'!$36:$38,'1031 ES'!$40:$40,'1031 ES'!$45:$54,'1031 ES'!$56:$68,'1031 ES'!$70:$108,'1031 ES'!$110:$111,'1031 ES'!$115:$125,'1031 ES'!$127:$145,'1031 ES'!$147:$148</definedName>
    <definedName name="Z_1998FCB8_1FEB_4076_ACE6_A225EE4366B3_.wvu.Rows" localSheetId="8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1998FCB8_1FEB_4076_ACE6_A225EE4366B3_.wvu.Rows" localSheetId="10" hidden="1">'1031 SS'!$16:$16,'1031 SS'!$18:$19,'1031 SS'!$21:$28,'1031 SS'!$36:$38,'1031 SS'!$40:$40,'1031 SS'!$45:$60,'1031 SS'!$62:$111,'1031 SS'!$115:$151</definedName>
    <definedName name="Z_1998FCB8_1FEB_4076_ACE6_A225EE4366B3_.wvu.Rows" localSheetId="11" hidden="1">'1032'!$18:$18,'1032'!$23:$27,'1032'!$29:$30,'1032'!$38:$39,'1032'!$42:$42,'1032'!$48:$48,'1032'!$50:$62,'1032'!$64:$71,'1032'!$73:$81,'1032'!$83:$112,'1032'!$116:$150</definedName>
    <definedName name="Z_1998FCB8_1FEB_4076_ACE6_A225EE4366B3_.wvu.Rows" localSheetId="12" hidden="1">'1041'!$18:$18,'1041'!$23:$27,'1041'!$29:$30,'1041'!$38:$39,'1041'!$42:$42,'1041'!$48:$48,'1041'!$50:$56,'1041'!$58:$111,'1041'!$115:$125,'1041'!$128:$135,'1041'!$137:$149</definedName>
    <definedName name="Z_1998FCB8_1FEB_4076_ACE6_A225EE4366B3_.wvu.Rows" localSheetId="13" hidden="1">'1061'!$17:$17,'1061'!$22:$26,'1061'!$28:$29,'1061'!$37:$38,'1061'!$41:$41,'1061'!$46:$46,'1061'!$48:$48,'1061'!$50:$55,'1061'!$57:$61,'1061'!$68:$71,'1061'!$83:$110,'1061'!$114:$122,'1061'!$126:$127,'1061'!$129:$140,'1061'!$142:$144</definedName>
    <definedName name="Z_1998FCB8_1FEB_4076_ACE6_A225EE4366B3_.wvu.Rows" localSheetId="14" hidden="1">'1071'!$17:$17,'1071'!$22:$26,'1071'!$28:$29,'1071'!$37:$38,'1071'!$41:$41,'1071'!$46:$48,'1071'!$50:$55,'1071'!$57:$61,'1071'!$63:$65,'1071'!$67:$110,'1071'!$114:$124,'1071'!$127:$134,'1071'!$136:$147</definedName>
    <definedName name="Z_1998FCB8_1FEB_4076_ACE6_A225EE4366B3_.wvu.Rows" localSheetId="15" hidden="1">'1081'!$17:$17,'1081'!$22:$26,'1081'!$28:$29,'1081'!$37:$38,'1081'!$41:$41,'1081'!$46:$46,'1081'!$48:$54,'1081'!$56:$63,'1081'!$65:$108,'1081'!$112:$122,'1081'!$124:$146</definedName>
    <definedName name="Z_1998FCB8_1FEB_4076_ACE6_A225EE4366B3_.wvu.Rows" localSheetId="16" hidden="1">'1091'!$17:$17,'1091'!$22:$26,'1091'!$28:$28,'1091'!$37:$38,'1091'!$41:$41,'1091'!$46:$46,'1091'!$48:$49,'1091'!$51:$55,'1091'!$57:$61,'1091'!$63:$65,'1091'!$67:$93,'1091'!$95:$107,'1091'!$125:$125,'1091'!$127:$131,'1091'!$133:$152</definedName>
    <definedName name="Z_1998FCB8_1FEB_4076_ACE6_A225EE4366B3_.wvu.Rows" localSheetId="17" hidden="1">'1101'!$17:$17,'1101'!$22:$26,'1101'!$28:$29,'1101'!$37:$38,'1101'!$41:$41,'1101'!$46:$55,'1101'!$57:$65,'1101'!$67:$71,'1101'!$73:$94,'1101'!$97:$111,'1101'!$115:$125,'1101'!$129:$132,'1101'!$135:$148</definedName>
    <definedName name="Z_1998FCB8_1FEB_4076_ACE6_A225EE4366B3_.wvu.Rows" localSheetId="18" hidden="1">'1131'!$17:$17,'1131'!$22:$26,'1131'!$28:$29,'1131'!$37:$39,'1131'!$41:$41,'1131'!$45:$46,'1131'!$48:$61,'1131'!$63:$65,'1131'!$67:$94,'1131'!$96:$111,'1131'!$115:$125</definedName>
    <definedName name="Z_1998FCB8_1FEB_4076_ACE6_A225EE4366B3_.wvu.Rows" localSheetId="32" hidden="1">'1201'!$31:$31,'1201'!$44:$54,'1201'!$56:$56,'1201'!$61:$75</definedName>
    <definedName name="Z_1998FCB8_1FEB_4076_ACE6_A225EE4366B3_.wvu.Rows" localSheetId="27" hidden="1">'1999-GPS'!$25:$25,'1999-GPS'!$28:$28,'1999-GPS'!$38:$38,'1999-GPS'!$41:$41</definedName>
    <definedName name="Z_1998FCB8_1FEB_4076_ACE6_A225EE4366B3_.wvu.Rows" localSheetId="25" hidden="1">'3361 (1)'!$17:$26,'3361 (1)'!$28:$32,'3361 (1)'!$34:$34,'3361 (1)'!$36:$37,'3361 (1)'!$40:$61,'3361 (1)'!$64:$65,'3361 (1)'!$68:$68,'3361 (1)'!$70:$82,'3361 (1)'!$85:$95,'3361 (1)'!$98:$113,'3361 (1)'!$115:$119</definedName>
    <definedName name="Z_1998FCB8_1FEB_4076_ACE6_A225EE4366B3_.wvu.Rows" localSheetId="26" hidden="1">'3361 (2)'!$17:$25,'3361 (2)'!$27:$31,'3361 (2)'!$35:$36,'3361 (2)'!$39:$59,'3361 (2)'!$62:$63,'3361 (2)'!$66:$66,'3361 (2)'!$68:$80,'3361 (2)'!$86:$91,'3361 (2)'!$94:$107</definedName>
    <definedName name="Z_1998FCB8_1FEB_4076_ACE6_A225EE4366B3_.wvu.Rows" localSheetId="24" hidden="1">'4411'!$26:$26,'4411'!$37:$37,'4411'!$43:$43,'4411'!$45:$50,'4411'!$54:$58,'4411'!$62:$62,'4411'!$64:$109,'4411'!$112:$122,'4411'!$125:$126,'4411'!$128:$135,'4411'!$139:$143,'4411'!$146:$147</definedName>
    <definedName name="Z_1998FCB8_1FEB_4076_ACE6_A225EE4366B3_.wvu.Rows" localSheetId="23" hidden="1">'4421'!$26:$26,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$140,'4421'!$143:$143,'4421'!$146:$150</definedName>
    <definedName name="Z_1998FCB8_1FEB_4076_ACE6_A225EE4366B3_.wvu.Rows" localSheetId="19" hidden="1">'7611'!$18:$18,'7611'!$23:$27,'7611'!$29:$30,'7611'!$42:$42,'7611'!$48:$48,'7611'!$50:$50,'7611'!$52:$53,'7611'!$55:$57,'7611'!$60:$63,'7611'!$65:$65,'7611'!$67:$70,'7611'!$72:$100,'7611'!$103:$112,'7611'!$117:$127,'7611'!$129:$153</definedName>
    <definedName name="Z_1998FCB8_1FEB_4076_ACE6_A225EE4366B3_.wvu.Rows" localSheetId="20" hidden="1">'8711'!$18:$18,'8711'!$23:$27,'8711'!$29:$30,'8711'!$38:$39,'8711'!$42:$42,'8711'!$48:$48,'8711'!$50:$56,'8711'!$59:$62,'8711'!$64:$111,'8711'!$114:$148</definedName>
    <definedName name="Z_1998FCB8_1FEB_4076_ACE6_A225EE4366B3_.wvu.Rows" localSheetId="21" hidden="1">'8721'!$18:$18,'8721'!$23:$27,'8721'!$29:$30,'8721'!$38:$39,'8721'!$42:$42,'8721'!$48:$48,'8721'!$50:$51,'8721'!$53:$54,'8721'!$59:$62,'8721'!$64:$111,'8721'!$114:$124,'8721'!$126:$149</definedName>
    <definedName name="Z_1998FCB8_1FEB_4076_ACE6_A225EE4366B3_.wvu.Rows" localSheetId="22" hidden="1">'8751'!$18:$18,'8751'!$23:$28,'8751'!$30:$31,'8751'!$39:$40,'8751'!$43:$43,'8751'!$49:$58,'8751'!$60:$64,'8751'!$66:$76,'8751'!$78:$96,'8751'!$99:$114,'8751'!$117:$127,'8751'!$130:$145,'8751'!$148:$148,'8751'!$150:$151</definedName>
    <definedName name="Z_1998FCB8_1FEB_4076_ACE6_A225EE4366B3_.wvu.Rows" localSheetId="33" hidden="1">'9940'!$16:$17,'9940'!$20:$25,'9940'!$28:$34,'9940'!$37:$65,'9940'!$68:$85,'9940'!$94:$96,'9940'!$101:$106,'9940'!$109:$112,'9940'!$114:$114,'9940'!$117:$118</definedName>
    <definedName name="Z_1998FCB8_1FEB_4076_ACE6_A225EE4366B3_.wvu.Rows" localSheetId="29" hidden="1">'GF-Infra Economic 8752-53'!$17:$17,'GF-Infra Economic 8752-53'!$20:$20,'GF-Infra Economic 8752-53'!$23:$23,'GF-Infra Economic 8752-53'!$25:$26,'GF-Infra Economic 8752-53'!$36:$37,'GF-Infra Economic 8752-53'!$39:$44</definedName>
    <definedName name="Z_1998FCB8_1FEB_4076_ACE6_A225EE4366B3_.wvu.Rows" localSheetId="28" hidden="1">'GF-Infra Social 3999-49-69'!$15:$44</definedName>
    <definedName name="Z_4EB6C556_388C_4B8E_B1F6_BC83F5C2F8AD_.wvu.PrintArea" localSheetId="32" hidden="1">'1201'!$A$1:$S$88</definedName>
    <definedName name="Z_4EB6C556_388C_4B8E_B1F6_BC83F5C2F8AD_.wvu.PrintArea" localSheetId="24" hidden="1">'4411'!$A$1:$S$156</definedName>
    <definedName name="Z_4EB6C556_388C_4B8E_B1F6_BC83F5C2F8AD_.wvu.PrintTitles" localSheetId="32" hidden="1">'1201'!$1:$14</definedName>
    <definedName name="Z_4EB6C556_388C_4B8E_B1F6_BC83F5C2F8AD_.wvu.PrintTitles" localSheetId="24" hidden="1">'4411'!$1:$14</definedName>
    <definedName name="Z_4EB6C556_388C_4B8E_B1F6_BC83F5C2F8AD_.wvu.Rows" localSheetId="32" hidden="1">'1201'!$31:$31,'1201'!$44:$54,'1201'!$56:$56,'1201'!$61:$66,'1201'!$68:$72,'1201'!$74:$75</definedName>
    <definedName name="Z_4EB6C556_388C_4B8E_B1F6_BC83F5C2F8AD_.wvu.Rows" localSheetId="24" hidden="1">'4411'!$26:$26,'4411'!$37:$37,'4411'!$43:$43,'4411'!$45:$45,'4411'!$47:$50,'4411'!$54:$58,'4411'!$62:$62,'4411'!$64:$89,'4411'!$91:$109,'4411'!$112:$122,'4411'!$125:$126,'4411'!$128:$135,'4411'!$139:$143,'4411'!$146:$147</definedName>
    <definedName name="Z_870B4CCF_089A_4C19_A059_259DAAB1F3BC_.wvu.PrintArea" localSheetId="1" hidden="1">'1011'!$A$1:$S$95</definedName>
    <definedName name="Z_870B4CCF_089A_4C19_A059_259DAAB1F3BC_.wvu.PrintArea" localSheetId="3" hidden="1">'1011 ES'!$A$1:$S$93</definedName>
    <definedName name="Z_870B4CCF_089A_4C19_A059_259DAAB1F3BC_.wvu.PrintArea" localSheetId="2" hidden="1">'1011 GPS'!$A$1:$S$93</definedName>
    <definedName name="Z_870B4CCF_089A_4C19_A059_259DAAB1F3BC_.wvu.PrintArea" localSheetId="0" hidden="1">'1011 GPS FINAL'!$A$1:$S$94</definedName>
    <definedName name="Z_870B4CCF_089A_4C19_A059_259DAAB1F3BC_.wvu.PrintArea" localSheetId="4" hidden="1">'1011 SS'!$A$1:$S$93</definedName>
    <definedName name="Z_870B4CCF_089A_4C19_A059_259DAAB1F3BC_.wvu.PrintArea" localSheetId="5" hidden="1">'1021'!$A$1:$S$169</definedName>
    <definedName name="Z_870B4CCF_089A_4C19_A059_259DAAB1F3BC_.wvu.PrintArea" localSheetId="6" hidden="1">'1022'!$A$1:$S$159</definedName>
    <definedName name="Z_870B4CCF_089A_4C19_A059_259DAAB1F3BC_.wvu.PrintArea" localSheetId="7" hidden="1">'1031'!$A$1:$S$158</definedName>
    <definedName name="Z_870B4CCF_089A_4C19_A059_259DAAB1F3BC_.wvu.PrintArea" localSheetId="9" hidden="1">'1031 ES'!$A$1:$S$161</definedName>
    <definedName name="Z_870B4CCF_089A_4C19_A059_259DAAB1F3BC_.wvu.PrintArea" localSheetId="8" hidden="1">'1031 GPS'!$A$1:$S$158</definedName>
    <definedName name="Z_870B4CCF_089A_4C19_A059_259DAAB1F3BC_.wvu.PrintArea" localSheetId="10" hidden="1">'1031 SS'!$A$1:$S$159</definedName>
    <definedName name="Z_870B4CCF_089A_4C19_A059_259DAAB1F3BC_.wvu.PrintArea" localSheetId="11" hidden="1">'1032'!$A$1:$S$161</definedName>
    <definedName name="Z_870B4CCF_089A_4C19_A059_259DAAB1F3BC_.wvu.PrintArea" localSheetId="12" hidden="1">'1041'!$A$1:$S$159</definedName>
    <definedName name="Z_870B4CCF_089A_4C19_A059_259DAAB1F3BC_.wvu.PrintArea" localSheetId="13" hidden="1">'1061'!$A$1:$S$155</definedName>
    <definedName name="Z_870B4CCF_089A_4C19_A059_259DAAB1F3BC_.wvu.PrintArea" localSheetId="14" hidden="1">'1071'!$A$1:$S$159</definedName>
    <definedName name="Z_870B4CCF_089A_4C19_A059_259DAAB1F3BC_.wvu.PrintArea" localSheetId="15" hidden="1">'1081'!$A$1:$S$156</definedName>
    <definedName name="Z_870B4CCF_089A_4C19_A059_259DAAB1F3BC_.wvu.PrintArea" localSheetId="16" hidden="1">'1091'!$A$1:$S$162</definedName>
    <definedName name="Z_870B4CCF_089A_4C19_A059_259DAAB1F3BC_.wvu.PrintArea" localSheetId="17" hidden="1">'1101'!$A$1:$S$160</definedName>
    <definedName name="Z_870B4CCF_089A_4C19_A059_259DAAB1F3BC_.wvu.PrintArea" localSheetId="18" hidden="1">'1131'!$A$1:$S$159</definedName>
    <definedName name="Z_870B4CCF_089A_4C19_A059_259DAAB1F3BC_.wvu.PrintArea" localSheetId="32" hidden="1">'1201'!$A$1:$S$88</definedName>
    <definedName name="Z_870B4CCF_089A_4C19_A059_259DAAB1F3BC_.wvu.PrintArea" localSheetId="27" hidden="1">'1999-GPS'!$A$1:$S$57</definedName>
    <definedName name="Z_870B4CCF_089A_4C19_A059_259DAAB1F3BC_.wvu.PrintArea" localSheetId="31" hidden="1">'20% Economic 8918'!$A$1:$S$34</definedName>
    <definedName name="Z_870B4CCF_089A_4C19_A059_259DAAB1F3BC_.wvu.PrintArea" localSheetId="30" hidden="1">'20% Social 4918-6918'!$A$1:$S$42</definedName>
    <definedName name="Z_870B4CCF_089A_4C19_A059_259DAAB1F3BC_.wvu.PrintArea" localSheetId="25" hidden="1">'3361 (1)'!$A$1:$S$129</definedName>
    <definedName name="Z_870B4CCF_089A_4C19_A059_259DAAB1F3BC_.wvu.PrintArea" localSheetId="26" hidden="1">'3361 (2)'!$A$1:$S$117</definedName>
    <definedName name="Z_870B4CCF_089A_4C19_A059_259DAAB1F3BC_.wvu.PrintArea" localSheetId="24" hidden="1">'4411'!$A$1:$S$157</definedName>
    <definedName name="Z_870B4CCF_089A_4C19_A059_259DAAB1F3BC_.wvu.PrintArea" localSheetId="23" hidden="1">'4421'!$A$1:$S$163</definedName>
    <definedName name="Z_870B4CCF_089A_4C19_A059_259DAAB1F3BC_.wvu.PrintArea" localSheetId="19" hidden="1">'7611'!$A$1:$S$163</definedName>
    <definedName name="Z_870B4CCF_089A_4C19_A059_259DAAB1F3BC_.wvu.PrintArea" localSheetId="20" hidden="1">'8711'!$A$1:$S$159</definedName>
    <definedName name="Z_870B4CCF_089A_4C19_A059_259DAAB1F3BC_.wvu.PrintArea" localSheetId="21" hidden="1">'8721'!$A$1:$S$159</definedName>
    <definedName name="Z_870B4CCF_089A_4C19_A059_259DAAB1F3BC_.wvu.PrintArea" localSheetId="22" hidden="1">'8751'!$A$1:$S$163</definedName>
    <definedName name="Z_870B4CCF_089A_4C19_A059_259DAAB1F3BC_.wvu.PrintArea" localSheetId="34" hidden="1">'9999'!$A$1:$S$32</definedName>
    <definedName name="Z_870B4CCF_089A_4C19_A059_259DAAB1F3BC_.wvu.PrintArea" localSheetId="29" hidden="1">'GF-Infra Economic 8752-53'!$A$1:$S$53</definedName>
    <definedName name="Z_870B4CCF_089A_4C19_A059_259DAAB1F3BC_.wvu.PrintArea" localSheetId="28" hidden="1">'GF-Infra Social 3999-49-69'!$A$1:$S$63</definedName>
    <definedName name="Z_870B4CCF_089A_4C19_A059_259DAAB1F3BC_.wvu.PrintTitles" localSheetId="1" hidden="1">'1011'!$1:$14</definedName>
    <definedName name="Z_870B4CCF_089A_4C19_A059_259DAAB1F3BC_.wvu.PrintTitles" localSheetId="3" hidden="1">'1011 ES'!$1:$14</definedName>
    <definedName name="Z_870B4CCF_089A_4C19_A059_259DAAB1F3BC_.wvu.PrintTitles" localSheetId="2" hidden="1">'1011 GPS'!$1:$14</definedName>
    <definedName name="Z_870B4CCF_089A_4C19_A059_259DAAB1F3BC_.wvu.PrintTitles" localSheetId="0" hidden="1">'1011 GPS FINAL'!$1:$14</definedName>
    <definedName name="Z_870B4CCF_089A_4C19_A059_259DAAB1F3BC_.wvu.PrintTitles" localSheetId="4" hidden="1">'1011 SS'!$1:$14</definedName>
    <definedName name="Z_870B4CCF_089A_4C19_A059_259DAAB1F3BC_.wvu.PrintTitles" localSheetId="5" hidden="1">'1021'!$1:$14</definedName>
    <definedName name="Z_870B4CCF_089A_4C19_A059_259DAAB1F3BC_.wvu.PrintTitles" localSheetId="6" hidden="1">'1022'!$1:$13</definedName>
    <definedName name="Z_870B4CCF_089A_4C19_A059_259DAAB1F3BC_.wvu.PrintTitles" localSheetId="7" hidden="1">'1031'!$1:$13</definedName>
    <definedName name="Z_870B4CCF_089A_4C19_A059_259DAAB1F3BC_.wvu.PrintTitles" localSheetId="9" hidden="1">'1031 ES'!$1:$13</definedName>
    <definedName name="Z_870B4CCF_089A_4C19_A059_259DAAB1F3BC_.wvu.PrintTitles" localSheetId="8" hidden="1">'1031 GPS'!$1:$13</definedName>
    <definedName name="Z_870B4CCF_089A_4C19_A059_259DAAB1F3BC_.wvu.PrintTitles" localSheetId="10" hidden="1">'1031 SS'!$1:$13</definedName>
    <definedName name="Z_870B4CCF_089A_4C19_A059_259DAAB1F3BC_.wvu.PrintTitles" localSheetId="11" hidden="1">'1032'!$1:$14</definedName>
    <definedName name="Z_870B4CCF_089A_4C19_A059_259DAAB1F3BC_.wvu.PrintTitles" localSheetId="12" hidden="1">'1041'!$1:$14</definedName>
    <definedName name="Z_870B4CCF_089A_4C19_A059_259DAAB1F3BC_.wvu.PrintTitles" localSheetId="13" hidden="1">'1061'!$1:$14</definedName>
    <definedName name="Z_870B4CCF_089A_4C19_A059_259DAAB1F3BC_.wvu.PrintTitles" localSheetId="14" hidden="1">'1071'!$1:$14</definedName>
    <definedName name="Z_870B4CCF_089A_4C19_A059_259DAAB1F3BC_.wvu.PrintTitles" localSheetId="15" hidden="1">'1081'!$1:$14</definedName>
    <definedName name="Z_870B4CCF_089A_4C19_A059_259DAAB1F3BC_.wvu.PrintTitles" localSheetId="16" hidden="1">'1091'!$1:$14</definedName>
    <definedName name="Z_870B4CCF_089A_4C19_A059_259DAAB1F3BC_.wvu.PrintTitles" localSheetId="17" hidden="1">'1101'!$1:$14</definedName>
    <definedName name="Z_870B4CCF_089A_4C19_A059_259DAAB1F3BC_.wvu.PrintTitles" localSheetId="18" hidden="1">'1131'!$1:$14</definedName>
    <definedName name="Z_870B4CCF_089A_4C19_A059_259DAAB1F3BC_.wvu.PrintTitles" localSheetId="32" hidden="1">'1201'!$1:$14</definedName>
    <definedName name="Z_870B4CCF_089A_4C19_A059_259DAAB1F3BC_.wvu.PrintTitles" localSheetId="27" hidden="1">'1999-GPS'!$1:$14</definedName>
    <definedName name="Z_870B4CCF_089A_4C19_A059_259DAAB1F3BC_.wvu.PrintTitles" localSheetId="31" hidden="1">'20% Economic 8918'!$1:$14</definedName>
    <definedName name="Z_870B4CCF_089A_4C19_A059_259DAAB1F3BC_.wvu.PrintTitles" localSheetId="30" hidden="1">'20% Social 4918-6918'!$1:$14</definedName>
    <definedName name="Z_870B4CCF_089A_4C19_A059_259DAAB1F3BC_.wvu.PrintTitles" localSheetId="25" hidden="1">'3361 (1)'!$1:$14</definedName>
    <definedName name="Z_870B4CCF_089A_4C19_A059_259DAAB1F3BC_.wvu.PrintTitles" localSheetId="26" hidden="1">'3361 (2)'!$1:$14</definedName>
    <definedName name="Z_870B4CCF_089A_4C19_A059_259DAAB1F3BC_.wvu.PrintTitles" localSheetId="24" hidden="1">'4411'!$1:$14</definedName>
    <definedName name="Z_870B4CCF_089A_4C19_A059_259DAAB1F3BC_.wvu.PrintTitles" localSheetId="23" hidden="1">'4421'!$1:$14</definedName>
    <definedName name="Z_870B4CCF_089A_4C19_A059_259DAAB1F3BC_.wvu.PrintTitles" localSheetId="19" hidden="1">'7611'!$1:$14</definedName>
    <definedName name="Z_870B4CCF_089A_4C19_A059_259DAAB1F3BC_.wvu.PrintTitles" localSheetId="20" hidden="1">'8711'!$1:$14</definedName>
    <definedName name="Z_870B4CCF_089A_4C19_A059_259DAAB1F3BC_.wvu.PrintTitles" localSheetId="21" hidden="1">'8721'!$1:$14</definedName>
    <definedName name="Z_870B4CCF_089A_4C19_A059_259DAAB1F3BC_.wvu.PrintTitles" localSheetId="22" hidden="1">'8751'!$1:$14</definedName>
    <definedName name="Z_870B4CCF_089A_4C19_A059_259DAAB1F3BC_.wvu.PrintTitles" localSheetId="34" hidden="1">'9999'!$1:$14</definedName>
    <definedName name="Z_870B4CCF_089A_4C19_A059_259DAAB1F3BC_.wvu.PrintTitles" localSheetId="29" hidden="1">'GF-Infra Economic 8752-53'!$1:$14</definedName>
    <definedName name="Z_870B4CCF_089A_4C19_A059_259DAAB1F3BC_.wvu.PrintTitles" localSheetId="28" hidden="1">'GF-Infra Social 3999-49-69'!$1:$14</definedName>
    <definedName name="Z_870B4CCF_089A_4C19_A059_259DAAB1F3BC_.wvu.Rows" localSheetId="5" hidden="1">'1021'!$22:$29,'1021'!$37:$38,'1021'!$41:$41,'1021'!$46:$46,'1021'!$48:$54,'1021'!$56:$60,'1021'!$62:$65,'1021'!$67:$90,'1021'!$96:$109,'1021'!$115:$150,'1021'!$156:$162</definedName>
    <definedName name="Z_870B4CCF_089A_4C19_A059_259DAAB1F3BC_.wvu.Rows" localSheetId="6" hidden="1">'1022'!$17:$17,'1022'!$22:$29,'1022'!$37:$38,'1022'!$41:$41,'1022'!$46:$46,'1022'!$48:$54,'1022'!$56:$60,'1022'!$62:$64,'1022'!$68:$69,'1022'!$76:$79,'1022'!$82:$111,'1022'!$114:$124,'1022'!$127:$128,'1022'!$129:$131,'1022'!$134:$134,'1022'!$136:$144,'1022'!$146:$147</definedName>
    <definedName name="Z_870B4CCF_089A_4C19_A059_259DAAB1F3BC_.wvu.Rows" localSheetId="7" hidden="1">'1031'!$16:$16,'1031'!$21:$28,'1031'!$36:$37,'1031'!$40:$40,'1031'!$45:$45,'1031'!$47:$50,'1031'!$52:$54,'1031'!$56:$57,'1031'!$59:$60,'1031'!$64:$64,'1031'!$68:$68,'1031'!$70:$90,'1031'!$93:$93,'1031'!$95:$107,'1031'!$115:$125,'1031'!$127:$127,'1031'!$128:$128,'1031'!$130:$133,'1031'!$135:$148</definedName>
    <definedName name="Z_870B4CCF_089A_4C19_A059_259DAAB1F3BC_.wvu.Rows" localSheetId="9" hidden="1">'1031 ES'!$16:$16,'1031 ES'!$21:$28,'1031 ES'!$36:$37,'1031 ES'!$40:$40,'1031 ES'!$45:$45,'1031 ES'!$47:$50,'1031 ES'!$52:$54,'1031 ES'!$56:$57,'1031 ES'!$59:$60,'1031 ES'!$64:$64,'1031 ES'!$68:$68,'1031 ES'!$70:$90,'1031 ES'!$93:$93,'1031 ES'!$95:$107,'1031 ES'!$115:$125,'1031 ES'!$127:$127,'1031 ES'!$128:$128,'1031 ES'!$130:$133,'1031 ES'!$135:$148</definedName>
    <definedName name="Z_870B4CCF_089A_4C19_A059_259DAAB1F3BC_.wvu.Rows" localSheetId="8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GPS'!$127:$127,'1031 GPS'!$128:$128,'1031 GPS'!$130:$133,'1031 GPS'!$135:$148</definedName>
    <definedName name="Z_870B4CCF_089A_4C19_A059_259DAAB1F3BC_.wvu.Rows" localSheetId="10" hidden="1">'1031 SS'!$16:$16,'1031 SS'!$21:$28,'1031 SS'!$36:$37,'1031 SS'!$40:$40,'1031 SS'!$45:$45,'1031 SS'!$47:$50,'1031 SS'!$52:$54,'1031 SS'!$56:$57,'1031 SS'!$59:$60,'1031 SS'!$64:$64,'1031 SS'!$68:$68,'1031 SS'!$70:$90,'1031 SS'!$93:$93,'1031 SS'!$95:$107,'1031 SS'!$115:$125,'1031 SS'!$127:$128,'1031 SS'!$129:$129,'1031 SS'!$131:$134,'1031 SS'!$136:$149</definedName>
    <definedName name="Z_870B4CCF_089A_4C19_A059_259DAAB1F3BC_.wvu.Rows" localSheetId="11" hidden="1">'1032'!$18:$18,'1032'!$23:$30,'1032'!$38:$39,'1032'!$42:$42,'1032'!$48:$48,'1032'!$50:$50,'1032'!$51:$62,'1032'!$64:$71,'1032'!$73:$81,'1032'!$83:$95,'1032'!$96:$111,'1032'!$116:$126,'1032'!$128:$129,'1032'!$130:$132,'1032'!$134:$148</definedName>
    <definedName name="Z_870B4CCF_089A_4C19_A059_259DAAB1F3BC_.wvu.Rows" localSheetId="12" hidden="1">'1041'!$18:$18,'1041'!$23:$30,'1041'!$38:$39,'1041'!$42:$42,'1041'!$48:$48,'1041'!$50:$56,'1041'!$58:$94,'1041'!$96:$111,'1041'!$115:$125,'1041'!$129:$130,'1041'!$131:$133,'1041'!$135:$149</definedName>
    <definedName name="Z_870B4CCF_089A_4C19_A059_259DAAB1F3BC_.wvu.Rows" localSheetId="13" hidden="1">'1061'!$17:$17,'1061'!$22:$29,'1061'!$37:$38,'1061'!$41:$41,'1061'!$46:$46,'1061'!$48:$48,'1061'!$51:$55,'1061'!$57:$61,'1061'!$63:$64,'1061'!$68:$71,'1061'!$83:$110,'1061'!$114:$122,'1061'!$124:$124,'1061'!$125:$127,'1061'!$129:$140,'1061'!$142:$144</definedName>
    <definedName name="Z_870B4CCF_089A_4C19_A059_259DAAB1F3BC_.wvu.Rows" localSheetId="14" hidden="1">'1071'!$17:$17,'1071'!$22:$29,'1071'!$37:$38,'1071'!$41:$41,'1071'!$46:$46,'1071'!$48:$48,'1071'!$50:$55,'1071'!$57:$61,'1071'!$63:$65,'1071'!$67:$93,'1071'!$96:$110,'1071'!$114:$124,'1071'!$127:$128,'1071'!$129:$131,'1071'!$133:$144,'1071'!$146:$147</definedName>
    <definedName name="Z_870B4CCF_089A_4C19_A059_259DAAB1F3BC_.wvu.Rows" localSheetId="15" hidden="1">'1081'!$17:$17,'1081'!$22:$29,'1081'!$37:$38,'1081'!$41:$41,'1081'!$46:$46,'1081'!$48:$54,'1081'!$56:$63,'1081'!$65:$91,'1081'!$94:$108,'1081'!$112:$122,'1081'!$125:$126,'1081'!$127:$129,'1081'!$132:$144</definedName>
    <definedName name="Z_870B4CCF_089A_4C19_A059_259DAAB1F3BC_.wvu.Rows" localSheetId="16" hidden="1">'1091'!$17:$17,'1091'!$22:$28,'1091'!$37:$38,'1091'!$41:$41,'1091'!$46:$46,'1091'!$48:$49,'1091'!$51:$55,'1091'!$57:$61,'1091'!$63:$65,'1091'!$67:$93,'1091'!$95:$96,'1091'!$98:$107,'1091'!$125:$125,'1091'!$127:$131,'1091'!$133:$152</definedName>
    <definedName name="Z_870B4CCF_089A_4C19_A059_259DAAB1F3BC_.wvu.Rows" localSheetId="17" hidden="1">'1101'!$17:$17,'1101'!$22:$29,'1101'!$37:$37,'1101'!$41:$41,'1101'!$46:$46,'1101'!$48:$48,'1101'!$50:$55,'1101'!$57:$65,'1101'!$67:$94,'1101'!$97:$111,'1101'!$115:$125,'1101'!$128:$129,'1101'!$130:$132,'1101'!$134:$148</definedName>
    <definedName name="Z_870B4CCF_089A_4C19_A059_259DAAB1F3BC_.wvu.Rows" localSheetId="18" hidden="1">'1131'!$17:$17,'1131'!$22:$29,'1131'!$37:$38,'1131'!$41:$41,'1131'!$46:$46,'1131'!$48:$61,'1131'!$63:$65,'1131'!$67:$94,'1131'!$97:$111,'1131'!$115:$125,'1131'!$127:$128,'1131'!$129:$131,'1131'!$133:$134,'1131'!$136:$147</definedName>
    <definedName name="Z_870B4CCF_089A_4C19_A059_259DAAB1F3BC_.wvu.Rows" localSheetId="32" hidden="1">'1201'!#REF!,'1201'!#REF!,'1201'!#REF!,'1201'!$31:$31,'1201'!#REF!,'1201'!#REF!,'1201'!$41:$41,'1201'!#REF!,'1201'!#REF!,'1201'!#REF!,'1201'!#REF!,'1201'!$44:$54,'1201'!$56:$56,'1201'!$58:$60,'1201'!$61:$75</definedName>
    <definedName name="Z_870B4CCF_089A_4C19_A059_259DAAB1F3BC_.wvu.Rows" localSheetId="25" hidden="1">'3361 (1)'!$17:$19,'3361 (1)'!$21:$26,'3361 (1)'!$28:$32,'3361 (1)'!$34:$34,'3361 (1)'!$36:$37,'3361 (1)'!$39:$61,'3361 (1)'!$64:$65,'3361 (1)'!$68:$68,'3361 (1)'!$70:$82,'3361 (1)'!$85:$95,'3361 (1)'!$98:$99,'3361 (1)'!$100:$113,'3361 (1)'!$116:$116,'3361 (1)'!$118:$119</definedName>
    <definedName name="Z_870B4CCF_089A_4C19_A059_259DAAB1F3BC_.wvu.Rows" localSheetId="26" hidden="1">'3361 (2)'!$17:$25,'3361 (2)'!$27:$31,'3361 (2)'!$35:$36,'3361 (2)'!$39:$59,'3361 (2)'!$62:$63,'3361 (2)'!$66:$66,'3361 (2)'!$68:$80,'3361 (2)'!$86:$87,'3361 (2)'!$88:$91,'3361 (2)'!$94:$107</definedName>
    <definedName name="Z_870B4CCF_089A_4C19_A059_259DAAB1F3BC_.wvu.Rows" localSheetId="24" hidden="1">'4411'!$26:$26,'4411'!$37:$37,'4411'!$43:$43,'4411'!$45:$50,'4411'!$54:$59,'4411'!$62:$62,'4411'!$64:$89,'4411'!$91:$109,'4411'!$112:$122,'4411'!$125:$126,'4411'!$128:$135,'4411'!$138:$147</definedName>
    <definedName name="Z_870B4CCF_089A_4C19_A059_259DAAB1F3BC_.wvu.Rows" localSheetId="23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$132:$137,'4421'!$139:$143,'4421'!$146:$147</definedName>
    <definedName name="Z_870B4CCF_089A_4C19_A059_259DAAB1F3BC_.wvu.Rows" localSheetId="19" hidden="1">'7611'!$18:$18,'7611'!$23:$27,'7611'!$29:$30,'7611'!$38:$40,'7611'!$42:$42,'7611'!$48:$48,'7611'!$50:$53,'7611'!$55:$57,'7611'!$60:$63,'7611'!$65:$70,'7611'!$72:$95,'7611'!$97:$100,'7611'!$102:$112,'7611'!$117:$127,'7611'!$130:$131,'7611'!$132:$137,'7611'!$141:$151</definedName>
    <definedName name="Z_870B4CCF_089A_4C19_A059_259DAAB1F3BC_.wvu.Rows" localSheetId="20" hidden="1">'8711'!$18:$18,'8711'!$23:$30,'8711'!$38:$38,'8711'!$42:$42,'8711'!$48:$48,'8711'!$50:$56,'8711'!$59:$62,'8711'!$64:$111,'8711'!$114:$124,'8711'!$127:$128,'8711'!$129:$147</definedName>
    <definedName name="Z_870B4CCF_089A_4C19_A059_259DAAB1F3BC_.wvu.Rows" localSheetId="21" hidden="1">'8721'!$18:$18,'8721'!$23:$30,'8721'!$38:$39,'8721'!$42:$42,'8721'!$48:$48,'8721'!$50:$51,'8721'!$53:$54,'8721'!$59:$62,'8721'!$64:$111,'8721'!$114:$124,'8721'!$127:$128,'8721'!$129:$147</definedName>
    <definedName name="Z_870B4CCF_089A_4C19_A059_259DAAB1F3BC_.wvu.Rows" localSheetId="22" hidden="1">'8751'!$18:$18,'8751'!$23:$31,'8751'!$39:$40,'8751'!$43:$43,'8751'!$49:$49,'8751'!$51:$58,'8751'!$60:$64,'8751'!$66:$76,'8751'!$78:$96,'8751'!$99:$113,'8751'!$117:$127,'8751'!$130:$131,'8751'!$132:$138,'8751'!$140:$145,'8751'!$148:$148,'8751'!$150:$151</definedName>
    <definedName name="Z_870B4CCF_089A_4C19_A059_259DAAB1F3BC_.wvu.Rows" localSheetId="29" hidden="1">'GF-Infra Economic 8752-53'!$23:$23,'GF-Infra Economic 8752-53'!$25:$26,'GF-Infra Economic 8752-53'!$34:$34,'GF-Infra Economic 8752-53'!$36:$36,'GF-Infra Economic 8752-53'!$40:$44</definedName>
    <definedName name="Z_B830B613_BE6E_4840_91D7_D447FD1BCCD2_.wvu.PrintArea" localSheetId="1" hidden="1">'1011'!$A$1:$S$95</definedName>
    <definedName name="Z_B830B613_BE6E_4840_91D7_D447FD1BCCD2_.wvu.PrintArea" localSheetId="3" hidden="1">'1011 ES'!$A$1:$S$93</definedName>
    <definedName name="Z_B830B613_BE6E_4840_91D7_D447FD1BCCD2_.wvu.PrintArea" localSheetId="2" hidden="1">'1011 GPS'!$A$1:$S$93</definedName>
    <definedName name="Z_B830B613_BE6E_4840_91D7_D447FD1BCCD2_.wvu.PrintArea" localSheetId="0" hidden="1">'1011 GPS FINAL'!$A$1:$S$94</definedName>
    <definedName name="Z_B830B613_BE6E_4840_91D7_D447FD1BCCD2_.wvu.PrintArea" localSheetId="4" hidden="1">'1011 SS'!$A$1:$S$93</definedName>
    <definedName name="Z_B830B613_BE6E_4840_91D7_D447FD1BCCD2_.wvu.PrintArea" localSheetId="5" hidden="1">'1021'!$A$1:$S$169</definedName>
    <definedName name="Z_B830B613_BE6E_4840_91D7_D447FD1BCCD2_.wvu.PrintArea" localSheetId="6" hidden="1">'1022'!$A$1:$S$159</definedName>
    <definedName name="Z_B830B613_BE6E_4840_91D7_D447FD1BCCD2_.wvu.PrintArea" localSheetId="7" hidden="1">'1031'!$A$1:$S$158</definedName>
    <definedName name="Z_B830B613_BE6E_4840_91D7_D447FD1BCCD2_.wvu.PrintArea" localSheetId="9" hidden="1">'1031 ES'!$A$1:$S$161</definedName>
    <definedName name="Z_B830B613_BE6E_4840_91D7_D447FD1BCCD2_.wvu.PrintArea" localSheetId="8" hidden="1">'1031 GPS'!$A$1:$S$158</definedName>
    <definedName name="Z_B830B613_BE6E_4840_91D7_D447FD1BCCD2_.wvu.PrintArea" localSheetId="10" hidden="1">'1031 SS'!$A$1:$S$159</definedName>
    <definedName name="Z_B830B613_BE6E_4840_91D7_D447FD1BCCD2_.wvu.PrintArea" localSheetId="11" hidden="1">'1032'!$A$1:$S$161</definedName>
    <definedName name="Z_B830B613_BE6E_4840_91D7_D447FD1BCCD2_.wvu.PrintArea" localSheetId="12" hidden="1">'1041'!$A$1:$S$159</definedName>
    <definedName name="Z_B830B613_BE6E_4840_91D7_D447FD1BCCD2_.wvu.PrintArea" localSheetId="13" hidden="1">'1061'!$A$1:$S$155</definedName>
    <definedName name="Z_B830B613_BE6E_4840_91D7_D447FD1BCCD2_.wvu.PrintArea" localSheetId="14" hidden="1">'1071'!$A$1:$S$159</definedName>
    <definedName name="Z_B830B613_BE6E_4840_91D7_D447FD1BCCD2_.wvu.PrintArea" localSheetId="15" hidden="1">'1081'!$A$1:$S$156</definedName>
    <definedName name="Z_B830B613_BE6E_4840_91D7_D447FD1BCCD2_.wvu.PrintArea" localSheetId="16" hidden="1">'1091'!$A$1:$S$162</definedName>
    <definedName name="Z_B830B613_BE6E_4840_91D7_D447FD1BCCD2_.wvu.PrintArea" localSheetId="17" hidden="1">'1101'!$A$1:$S$160</definedName>
    <definedName name="Z_B830B613_BE6E_4840_91D7_D447FD1BCCD2_.wvu.PrintArea" localSheetId="18" hidden="1">'1131'!$A$1:$S$159</definedName>
    <definedName name="Z_B830B613_BE6E_4840_91D7_D447FD1BCCD2_.wvu.PrintArea" localSheetId="32" hidden="1">'1201'!$A$1:$S$88</definedName>
    <definedName name="Z_B830B613_BE6E_4840_91D7_D447FD1BCCD2_.wvu.PrintArea" localSheetId="27" hidden="1">'1999-GPS'!$A$1:$S$57</definedName>
    <definedName name="Z_B830B613_BE6E_4840_91D7_D447FD1BCCD2_.wvu.PrintArea" localSheetId="31" hidden="1">'20% Economic 8918'!$A$1:$S$34</definedName>
    <definedName name="Z_B830B613_BE6E_4840_91D7_D447FD1BCCD2_.wvu.PrintArea" localSheetId="30" hidden="1">'20% Social 4918-6918'!$A$1:$S$42</definedName>
    <definedName name="Z_B830B613_BE6E_4840_91D7_D447FD1BCCD2_.wvu.PrintArea" localSheetId="25" hidden="1">'3361 (1)'!$A$1:$S$129</definedName>
    <definedName name="Z_B830B613_BE6E_4840_91D7_D447FD1BCCD2_.wvu.PrintArea" localSheetId="26" hidden="1">'3361 (2)'!$A$1:$S$117</definedName>
    <definedName name="Z_B830B613_BE6E_4840_91D7_D447FD1BCCD2_.wvu.PrintArea" localSheetId="24" hidden="1">'4411'!$A$1:$S$157</definedName>
    <definedName name="Z_B830B613_BE6E_4840_91D7_D447FD1BCCD2_.wvu.PrintArea" localSheetId="23" hidden="1">'4421'!$A$1:$S$163</definedName>
    <definedName name="Z_B830B613_BE6E_4840_91D7_D447FD1BCCD2_.wvu.PrintArea" localSheetId="19" hidden="1">'7611'!$A$1:$S$163</definedName>
    <definedName name="Z_B830B613_BE6E_4840_91D7_D447FD1BCCD2_.wvu.PrintArea" localSheetId="20" hidden="1">'8711'!$A$1:$S$159</definedName>
    <definedName name="Z_B830B613_BE6E_4840_91D7_D447FD1BCCD2_.wvu.PrintArea" localSheetId="21" hidden="1">'8721'!$A$1:$S$159</definedName>
    <definedName name="Z_B830B613_BE6E_4840_91D7_D447FD1BCCD2_.wvu.PrintArea" localSheetId="22" hidden="1">'8751'!$A$1:$S$163</definedName>
    <definedName name="Z_B830B613_BE6E_4840_91D7_D447FD1BCCD2_.wvu.PrintArea" localSheetId="33" hidden="1">'9940'!$A$1:$S$128</definedName>
    <definedName name="Z_B830B613_BE6E_4840_91D7_D447FD1BCCD2_.wvu.PrintArea" localSheetId="34" hidden="1">'9999'!$A$1:$S$32</definedName>
    <definedName name="Z_B830B613_BE6E_4840_91D7_D447FD1BCCD2_.wvu.PrintArea" localSheetId="29" hidden="1">'GF-Infra Economic 8752-53'!$A$1:$S$53</definedName>
    <definedName name="Z_B830B613_BE6E_4840_91D7_D447FD1BCCD2_.wvu.PrintArea" localSheetId="28" hidden="1">'GF-Infra Social 3999-49-69'!$A$1:$S$63</definedName>
    <definedName name="Z_B830B613_BE6E_4840_91D7_D447FD1BCCD2_.wvu.PrintTitles" localSheetId="1" hidden="1">'1011'!$1:$14</definedName>
    <definedName name="Z_B830B613_BE6E_4840_91D7_D447FD1BCCD2_.wvu.PrintTitles" localSheetId="3" hidden="1">'1011 ES'!$1:$14</definedName>
    <definedName name="Z_B830B613_BE6E_4840_91D7_D447FD1BCCD2_.wvu.PrintTitles" localSheetId="2" hidden="1">'1011 GPS'!$1:$14</definedName>
    <definedName name="Z_B830B613_BE6E_4840_91D7_D447FD1BCCD2_.wvu.PrintTitles" localSheetId="0" hidden="1">'1011 GPS FINAL'!$1:$14</definedName>
    <definedName name="Z_B830B613_BE6E_4840_91D7_D447FD1BCCD2_.wvu.PrintTitles" localSheetId="4" hidden="1">'1011 SS'!$1:$14</definedName>
    <definedName name="Z_B830B613_BE6E_4840_91D7_D447FD1BCCD2_.wvu.PrintTitles" localSheetId="5" hidden="1">'1021'!$1:$14</definedName>
    <definedName name="Z_B830B613_BE6E_4840_91D7_D447FD1BCCD2_.wvu.PrintTitles" localSheetId="6" hidden="1">'1022'!$1:$13</definedName>
    <definedName name="Z_B830B613_BE6E_4840_91D7_D447FD1BCCD2_.wvu.PrintTitles" localSheetId="7" hidden="1">'1031'!$1:$13</definedName>
    <definedName name="Z_B830B613_BE6E_4840_91D7_D447FD1BCCD2_.wvu.PrintTitles" localSheetId="9" hidden="1">'1031 ES'!$1:$13</definedName>
    <definedName name="Z_B830B613_BE6E_4840_91D7_D447FD1BCCD2_.wvu.PrintTitles" localSheetId="8" hidden="1">'1031 GPS'!$1:$13</definedName>
    <definedName name="Z_B830B613_BE6E_4840_91D7_D447FD1BCCD2_.wvu.PrintTitles" localSheetId="10" hidden="1">'1031 SS'!$1:$13</definedName>
    <definedName name="Z_B830B613_BE6E_4840_91D7_D447FD1BCCD2_.wvu.PrintTitles" localSheetId="11" hidden="1">'1032'!$1:$14</definedName>
    <definedName name="Z_B830B613_BE6E_4840_91D7_D447FD1BCCD2_.wvu.PrintTitles" localSheetId="12" hidden="1">'1041'!$1:$14</definedName>
    <definedName name="Z_B830B613_BE6E_4840_91D7_D447FD1BCCD2_.wvu.PrintTitles" localSheetId="13" hidden="1">'1061'!$1:$14</definedName>
    <definedName name="Z_B830B613_BE6E_4840_91D7_D447FD1BCCD2_.wvu.PrintTitles" localSheetId="14" hidden="1">'1071'!$1:$14</definedName>
    <definedName name="Z_B830B613_BE6E_4840_91D7_D447FD1BCCD2_.wvu.PrintTitles" localSheetId="15" hidden="1">'1081'!$1:$14</definedName>
    <definedName name="Z_B830B613_BE6E_4840_91D7_D447FD1BCCD2_.wvu.PrintTitles" localSheetId="16" hidden="1">'1091'!$1:$14</definedName>
    <definedName name="Z_B830B613_BE6E_4840_91D7_D447FD1BCCD2_.wvu.PrintTitles" localSheetId="17" hidden="1">'1101'!$1:$14</definedName>
    <definedName name="Z_B830B613_BE6E_4840_91D7_D447FD1BCCD2_.wvu.PrintTitles" localSheetId="18" hidden="1">'1131'!$1:$14</definedName>
    <definedName name="Z_B830B613_BE6E_4840_91D7_D447FD1BCCD2_.wvu.PrintTitles" localSheetId="32" hidden="1">'1201'!$1:$14</definedName>
    <definedName name="Z_B830B613_BE6E_4840_91D7_D447FD1BCCD2_.wvu.PrintTitles" localSheetId="27" hidden="1">'1999-GPS'!$1:$14</definedName>
    <definedName name="Z_B830B613_BE6E_4840_91D7_D447FD1BCCD2_.wvu.PrintTitles" localSheetId="31" hidden="1">'20% Economic 8918'!$1:$14</definedName>
    <definedName name="Z_B830B613_BE6E_4840_91D7_D447FD1BCCD2_.wvu.PrintTitles" localSheetId="30" hidden="1">'20% Social 4918-6918'!$1:$14</definedName>
    <definedName name="Z_B830B613_BE6E_4840_91D7_D447FD1BCCD2_.wvu.PrintTitles" localSheetId="25" hidden="1">'3361 (1)'!$1:$14</definedName>
    <definedName name="Z_B830B613_BE6E_4840_91D7_D447FD1BCCD2_.wvu.PrintTitles" localSheetId="26" hidden="1">'3361 (2)'!$1:$14</definedName>
    <definedName name="Z_B830B613_BE6E_4840_91D7_D447FD1BCCD2_.wvu.PrintTitles" localSheetId="24" hidden="1">'4411'!$1:$14</definedName>
    <definedName name="Z_B830B613_BE6E_4840_91D7_D447FD1BCCD2_.wvu.PrintTitles" localSheetId="23" hidden="1">'4421'!$1:$14</definedName>
    <definedName name="Z_B830B613_BE6E_4840_91D7_D447FD1BCCD2_.wvu.PrintTitles" localSheetId="19" hidden="1">'7611'!$1:$14</definedName>
    <definedName name="Z_B830B613_BE6E_4840_91D7_D447FD1BCCD2_.wvu.PrintTitles" localSheetId="20" hidden="1">'8711'!$1:$14</definedName>
    <definedName name="Z_B830B613_BE6E_4840_91D7_D447FD1BCCD2_.wvu.PrintTitles" localSheetId="21" hidden="1">'8721'!$1:$14</definedName>
    <definedName name="Z_B830B613_BE6E_4840_91D7_D447FD1BCCD2_.wvu.PrintTitles" localSheetId="22" hidden="1">'8751'!$1:$14</definedName>
    <definedName name="Z_B830B613_BE6E_4840_91D7_D447FD1BCCD2_.wvu.PrintTitles" localSheetId="33" hidden="1">'9940'!$1:$14</definedName>
    <definedName name="Z_B830B613_BE6E_4840_91D7_D447FD1BCCD2_.wvu.PrintTitles" localSheetId="34" hidden="1">'9999'!$1:$14</definedName>
    <definedName name="Z_B830B613_BE6E_4840_91D7_D447FD1BCCD2_.wvu.PrintTitles" localSheetId="29" hidden="1">'GF-Infra Economic 8752-53'!$1:$14</definedName>
    <definedName name="Z_B830B613_BE6E_4840_91D7_D447FD1BCCD2_.wvu.PrintTitles" localSheetId="28" hidden="1">'GF-Infra Social 3999-49-69'!$1:$14</definedName>
    <definedName name="Z_B830B613_BE6E_4840_91D7_D447FD1BCCD2_.wvu.Rows" localSheetId="1" hidden="1">'1011'!$74:$74</definedName>
    <definedName name="Z_B830B613_BE6E_4840_91D7_D447FD1BCCD2_.wvu.Rows" localSheetId="3" hidden="1">'1011 ES'!$73:$73</definedName>
    <definedName name="Z_B830B613_BE6E_4840_91D7_D447FD1BCCD2_.wvu.Rows" localSheetId="2" hidden="1">'1011 GPS'!$73:$73</definedName>
    <definedName name="Z_B830B613_BE6E_4840_91D7_D447FD1BCCD2_.wvu.Rows" localSheetId="0" hidden="1">'1011 GPS FINAL'!$73:$73</definedName>
    <definedName name="Z_B830B613_BE6E_4840_91D7_D447FD1BCCD2_.wvu.Rows" localSheetId="4" hidden="1">'1011 SS'!$73:$73</definedName>
    <definedName name="Z_B830B613_BE6E_4840_91D7_D447FD1BCCD2_.wvu.Rows" localSheetId="5" hidden="1">'1021'!$22:$29,'1021'!$37:$38,'1021'!$41:$41,'1021'!$46:$46,'1021'!$48:$54,'1021'!$56:$60,'1021'!$62:$65,'1021'!$67:$90,'1021'!$96:$109,'1021'!$115:$124,'1021'!$127:$128,'1021'!$130:$133,'1021'!$135:$148,'1021'!$156:$162</definedName>
    <definedName name="Z_B830B613_BE6E_4840_91D7_D447FD1BCCD2_.wvu.Rows" localSheetId="6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B830B613_BE6E_4840_91D7_D447FD1BCCD2_.wvu.Rows" localSheetId="7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B830B613_BE6E_4840_91D7_D447FD1BCCD2_.wvu.Rows" localSheetId="9" hidden="1">'1031 ES'!$16:$16,'1031 ES'!$21:$28,'1031 ES'!$36:$37,'1031 ES'!$40:$40,'1031 ES'!$45:$45,'1031 ES'!$47:$50,'1031 ES'!$52:$54,'1031 ES'!$56:$57,'1031 ES'!$59:$60,'1031 ES'!$64:$64,'1031 ES'!$68:$68,'1031 ES'!$70:$87,'1031 ES'!$89:$90,'1031 ES'!$93:$93,'1031 ES'!$95:$107,'1031 ES'!$115:$125,'1031 ES'!$127:$128,'1031 ES'!$130:$145,'1031 ES'!$147:$148</definedName>
    <definedName name="Z_B830B613_BE6E_4840_91D7_D447FD1BCCD2_.wvu.Rows" localSheetId="8" hidden="1">'1031 GPS'!$16:$16,'1031 GPS'!$21:$28,'1031 GPS'!$36:$37,'1031 GPS'!$40:$40,'1031 GPS'!$45:$45,'1031 GPS'!$47:$50,'1031 GPS'!$52:$54,'1031 GPS'!$56:$57,'1031 GPS'!$59:$60,'1031 GPS'!$64:$64,'1031 GPS'!$68:$68,'1031 GPS'!$70:$87,'1031 GPS'!$89:$90,'1031 GPS'!$93:$93,'1031 GPS'!$95:$107,'1031 GPS'!$115:$125,'1031 GPS'!$127:$128,'1031 GPS'!$130:$145,'1031 GPS'!$147:$148</definedName>
    <definedName name="Z_B830B613_BE6E_4840_91D7_D447FD1BCCD2_.wvu.Rows" localSheetId="10" hidden="1">'1031 SS'!$16:$16,'1031 SS'!$21:$28,'1031 SS'!$36:$37,'1031 SS'!$40:$40,'1031 SS'!$45:$45,'1031 SS'!$47:$50,'1031 SS'!$52:$54,'1031 SS'!$56:$57,'1031 SS'!$59:$60,'1031 SS'!$64:$64,'1031 SS'!$68:$68,'1031 SS'!$70:$87,'1031 SS'!$89:$90,'1031 SS'!$93:$93,'1031 SS'!$95:$107,'1031 SS'!$115:$125,'1031 SS'!$127:$129,'1031 SS'!$131:$146,'1031 SS'!$148:$149</definedName>
    <definedName name="Z_B830B613_BE6E_4840_91D7_D447FD1BCCD2_.wvu.Rows" localSheetId="11" hidden="1">'1032'!$18:$18,'1032'!$23:$30,'1032'!$38:$39,'1032'!$42:$42,'1032'!$48:$48,'1032'!$50:$62,'1032'!$64:$71,'1032'!$73:$81,'1032'!$83:$111,'1032'!$116:$126,'1032'!$128:$132,'1032'!$134:$148</definedName>
    <definedName name="Z_B830B613_BE6E_4840_91D7_D447FD1BCCD2_.wvu.Rows" localSheetId="12" hidden="1">'1041'!$18:$18,'1041'!$23:$30,'1041'!$38:$39,'1041'!$42:$42,'1041'!$48:$48,'1041'!$50:$56,'1041'!$58:$94,'1041'!$96:$111,'1041'!$115:$125,'1041'!$129:$130,'1041'!$131:$133,'1041'!$135:$135,'1041'!$137:$149</definedName>
    <definedName name="Z_B830B613_BE6E_4840_91D7_D447FD1BCCD2_.wvu.Rows" localSheetId="13" hidden="1">'1061'!$17:$17,'1061'!$22:$29,'1061'!$37:$38,'1061'!$41:$41,'1061'!$46:$46,'1061'!$48:$48,'1061'!$51:$55,'1061'!$57:$61,'1061'!$63:$64,'1061'!$68:$71,'1061'!$83:$110,'1061'!$114:$122,'1061'!$124:$127,'1061'!$129:$140,'1061'!$142:$144</definedName>
    <definedName name="Z_B830B613_BE6E_4840_91D7_D447FD1BCCD2_.wvu.Rows" localSheetId="14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B830B613_BE6E_4840_91D7_D447FD1BCCD2_.wvu.Rows" localSheetId="15" hidden="1">'1081'!$17:$17,'1081'!$22:$29,'1081'!$37:$38,'1081'!$41:$41,'1081'!$46:$46,'1081'!$48:$54,'1081'!$56:$63,'1081'!$65:$91,'1081'!$94:$108,'1081'!$112:$122,'1081'!$125:$129,'1081'!$132:$144</definedName>
    <definedName name="Z_B830B613_BE6E_4840_91D7_D447FD1BCCD2_.wvu.Rows" localSheetId="16" hidden="1">'1091'!$17:$17,'1091'!$22:$28,'1091'!$37:$37,'1091'!$41:$41,'1091'!$46:$46,'1091'!$48:$49,'1091'!$51:$55,'1091'!$57:$61,'1091'!$63:$65,'1091'!$67:$93,'1091'!$95:$96,'1091'!$98:$107,'1091'!$125:$125,'1091'!$127:$131,'1091'!$133:$137,'1091'!$139:$148,'1091'!$151:$152</definedName>
    <definedName name="Z_B830B613_BE6E_4840_91D7_D447FD1BCCD2_.wvu.Rows" localSheetId="17" hidden="1">'1101'!$17:$17,'1101'!$22:$29,'1101'!$37:$37,'1101'!$41:$41,'1101'!$46:$46,'1101'!$48:$55,'1101'!$57:$65,'1101'!$67:$71,'1101'!$73:$94,'1101'!$97:$111,'1101'!$115:$125,'1101'!$128:$132,'1101'!$135:$148</definedName>
    <definedName name="Z_B830B613_BE6E_4840_91D7_D447FD1BCCD2_.wvu.Rows" localSheetId="18" hidden="1">'1131'!$17:$17,'1131'!$22:$29,'1131'!$37:$38,'1131'!$41:$41,'1131'!$46:$46,'1131'!$48:$61,'1131'!$63:$65,'1131'!$67:$94,'1131'!$97:$111,'1131'!$115:$125,'1131'!$127:$131,'1131'!$133:$134,'1131'!$136:$147</definedName>
    <definedName name="Z_B830B613_BE6E_4840_91D7_D447FD1BCCD2_.wvu.Rows" localSheetId="32" hidden="1">'1201'!$31:$31,'1201'!$44:$54,'1201'!$56:$56,'1201'!$61:$75</definedName>
    <definedName name="Z_B830B613_BE6E_4840_91D7_D447FD1BCCD2_.wvu.Rows" localSheetId="25" hidden="1">'3361 (1)'!$17:$26,'3361 (1)'!$28:$32,'3361 (1)'!$34:$34,'3361 (1)'!$36:$37,'3361 (1)'!$39:$61,'3361 (1)'!$64:$65,'3361 (1)'!$68:$68,'3361 (1)'!$70:$82,'3361 (1)'!$85:$95,'3361 (1)'!$98:$113,'3361 (1)'!$115:$116,'3361 (1)'!$118:$119</definedName>
    <definedName name="Z_B830B613_BE6E_4840_91D7_D447FD1BCCD2_.wvu.Rows" localSheetId="26" hidden="1">'3361 (2)'!$17:$25,'3361 (2)'!$27:$31,'3361 (2)'!$35:$36,'3361 (2)'!$39:$59,'3361 (2)'!$62:$63,'3361 (2)'!$66:$66,'3361 (2)'!$68:$80,'3361 (2)'!$86:$91,'3361 (2)'!$94:$107</definedName>
    <definedName name="Z_B830B613_BE6E_4840_91D7_D447FD1BCCD2_.wvu.Rows" localSheetId="24" hidden="1">'4411'!$26:$26,'4411'!$37:$37,'4411'!$43:$43,'4411'!$45:$45,'4411'!$47:$50,'4411'!$54:$58,'4411'!$62:$62,'4411'!$64:$89,'4411'!$91:$109,'4411'!$112:$122,'4411'!$125:$126,'4411'!$128:$130,'4411'!$131:$135,'4411'!$139:$143,'4411'!$146:$147</definedName>
    <definedName name="Z_B830B613_BE6E_4840_91D7_D447FD1BCCD2_.wvu.Rows" localSheetId="23" hidden="1">'4421'!$34:$34,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B830B613_BE6E_4840_91D7_D447FD1BCCD2_.wvu.Rows" localSheetId="19" hidden="1">'7611'!$18:$18,'7611'!$23:$27,'7611'!$29:$30,'7611'!$38:$40,'7611'!$42:$42,'7611'!$48:$48,'7611'!$50:$50,'7611'!$52:$53,'7611'!$55:$57,'7611'!$60:$63,'7611'!$65:$70,'7611'!$72:$73,'7611'!$75:$95,'7611'!$97:$100,'7611'!$103:$112,'7611'!$117:$127,'7611'!$129:$153</definedName>
    <definedName name="Z_B830B613_BE6E_4840_91D7_D447FD1BCCD2_.wvu.Rows" localSheetId="20" hidden="1">'8711'!$18:$18,'8711'!$23:$30,'8711'!$38:$38,'8711'!$42:$42,'8711'!$48:$48,'8711'!$50:$56,'8711'!$59:$62,'8711'!$64:$111,'8711'!$114:$148</definedName>
    <definedName name="Z_B830B613_BE6E_4840_91D7_D447FD1BCCD2_.wvu.Rows" localSheetId="21" hidden="1">'8721'!$18:$18,'8721'!$23:$30,'8721'!$38:$39,'8721'!$42:$42,'8721'!$48:$48,'8721'!$50:$51,'8721'!$53:$54,'8721'!$59:$62,'8721'!$64:$111,'8721'!$114:$124,'8721'!$126:$149</definedName>
    <definedName name="Z_B830B613_BE6E_4840_91D7_D447FD1BCCD2_.wvu.Rows" localSheetId="22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B830B613_BE6E_4840_91D7_D447FD1BCCD2_.wvu.Rows" localSheetId="33" hidden="1">'9940'!$16:$17,'9940'!$20:$25,'9940'!$28:$34,'9940'!$37:$65,'9940'!$68:$85,'9940'!$94:$96,'9940'!$101:$107,'9940'!$109:$112,'9940'!$114:$115,'9940'!$117:$118</definedName>
    <definedName name="Z_B830B613_BE6E_4840_91D7_D447FD1BCCD2_.wvu.Rows" localSheetId="29" hidden="1">'GF-Infra Economic 8752-53'!$23:$23,'GF-Infra Economic 8752-53'!$25:$26,'GF-Infra Economic 8752-53'!$34:$34,'GF-Infra Economic 8752-53'!$36:$36,'GF-Infra Economic 8752-53'!$40:$44</definedName>
    <definedName name="Z_DE3A1FFE_44A0_41BD_98AB_2A2226968564_.wvu.PrintArea" localSheetId="1" hidden="1">'1011'!$A$1:$S$95</definedName>
    <definedName name="Z_DE3A1FFE_44A0_41BD_98AB_2A2226968564_.wvu.PrintArea" localSheetId="3" hidden="1">'1011 ES'!$A$1:$S$93</definedName>
    <definedName name="Z_DE3A1FFE_44A0_41BD_98AB_2A2226968564_.wvu.PrintArea" localSheetId="2" hidden="1">'1011 GPS'!$A$1:$S$93</definedName>
    <definedName name="Z_DE3A1FFE_44A0_41BD_98AB_2A2226968564_.wvu.PrintArea" localSheetId="0" hidden="1">'1011 GPS FINAL'!$A$1:$S$94</definedName>
    <definedName name="Z_DE3A1FFE_44A0_41BD_98AB_2A2226968564_.wvu.PrintArea" localSheetId="4" hidden="1">'1011 SS'!$A$1:$S$93</definedName>
    <definedName name="Z_DE3A1FFE_44A0_41BD_98AB_2A2226968564_.wvu.PrintArea" localSheetId="5" hidden="1">'1021'!$A$1:$S$169</definedName>
    <definedName name="Z_DE3A1FFE_44A0_41BD_98AB_2A2226968564_.wvu.PrintArea" localSheetId="6" hidden="1">'1022'!$A$1:$S$159</definedName>
    <definedName name="Z_DE3A1FFE_44A0_41BD_98AB_2A2226968564_.wvu.PrintArea" localSheetId="7" hidden="1">'1031'!$A$1:$S$158</definedName>
    <definedName name="Z_DE3A1FFE_44A0_41BD_98AB_2A2226968564_.wvu.PrintArea" localSheetId="9" hidden="1">'1031 ES'!$A$1:$S$161</definedName>
    <definedName name="Z_DE3A1FFE_44A0_41BD_98AB_2A2226968564_.wvu.PrintArea" localSheetId="8" hidden="1">'1031 GPS'!$A$1:$S$158</definedName>
    <definedName name="Z_DE3A1FFE_44A0_41BD_98AB_2A2226968564_.wvu.PrintArea" localSheetId="10" hidden="1">'1031 SS'!$A$1:$S$159</definedName>
    <definedName name="Z_DE3A1FFE_44A0_41BD_98AB_2A2226968564_.wvu.PrintArea" localSheetId="11" hidden="1">'1032'!$A$1:$S$161</definedName>
    <definedName name="Z_DE3A1FFE_44A0_41BD_98AB_2A2226968564_.wvu.PrintArea" localSheetId="12" hidden="1">'1041'!$A$1:$S$159</definedName>
    <definedName name="Z_DE3A1FFE_44A0_41BD_98AB_2A2226968564_.wvu.PrintArea" localSheetId="13" hidden="1">'1061'!$A$1:$S$155</definedName>
    <definedName name="Z_DE3A1FFE_44A0_41BD_98AB_2A2226968564_.wvu.PrintArea" localSheetId="14" hidden="1">'1071'!$A$1:$S$159</definedName>
    <definedName name="Z_DE3A1FFE_44A0_41BD_98AB_2A2226968564_.wvu.PrintArea" localSheetId="15" hidden="1">'1081'!$A$1:$S$156</definedName>
    <definedName name="Z_DE3A1FFE_44A0_41BD_98AB_2A2226968564_.wvu.PrintArea" localSheetId="16" hidden="1">'1091'!$A$1:$S$162</definedName>
    <definedName name="Z_DE3A1FFE_44A0_41BD_98AB_2A2226968564_.wvu.PrintArea" localSheetId="17" hidden="1">'1101'!$A$1:$S$160</definedName>
    <definedName name="Z_DE3A1FFE_44A0_41BD_98AB_2A2226968564_.wvu.PrintArea" localSheetId="18" hidden="1">'1131'!$A$1:$S$159</definedName>
    <definedName name="Z_DE3A1FFE_44A0_41BD_98AB_2A2226968564_.wvu.PrintArea" localSheetId="32" hidden="1">'1201'!$A$1:$S$88</definedName>
    <definedName name="Z_DE3A1FFE_44A0_41BD_98AB_2A2226968564_.wvu.PrintArea" localSheetId="27" hidden="1">'1999-GPS'!$A$1:$S$57</definedName>
    <definedName name="Z_DE3A1FFE_44A0_41BD_98AB_2A2226968564_.wvu.PrintArea" localSheetId="31" hidden="1">'20% Economic 8918'!$A$1:$S$34</definedName>
    <definedName name="Z_DE3A1FFE_44A0_41BD_98AB_2A2226968564_.wvu.PrintArea" localSheetId="30" hidden="1">'20% Social 4918-6918'!$A$1:$S$42</definedName>
    <definedName name="Z_DE3A1FFE_44A0_41BD_98AB_2A2226968564_.wvu.PrintArea" localSheetId="25" hidden="1">'3361 (1)'!$A$1:$S$129</definedName>
    <definedName name="Z_DE3A1FFE_44A0_41BD_98AB_2A2226968564_.wvu.PrintArea" localSheetId="26" hidden="1">'3361 (2)'!$A$1:$S$117</definedName>
    <definedName name="Z_DE3A1FFE_44A0_41BD_98AB_2A2226968564_.wvu.PrintArea" localSheetId="24" hidden="1">'4411'!$A$1:$S$157</definedName>
    <definedName name="Z_DE3A1FFE_44A0_41BD_98AB_2A2226968564_.wvu.PrintArea" localSheetId="23" hidden="1">'4421'!$A$1:$S$163</definedName>
    <definedName name="Z_DE3A1FFE_44A0_41BD_98AB_2A2226968564_.wvu.PrintArea" localSheetId="19" hidden="1">'7611'!$A$1:$S$163</definedName>
    <definedName name="Z_DE3A1FFE_44A0_41BD_98AB_2A2226968564_.wvu.PrintArea" localSheetId="20" hidden="1">'8711'!$A$1:$S$159</definedName>
    <definedName name="Z_DE3A1FFE_44A0_41BD_98AB_2A2226968564_.wvu.PrintArea" localSheetId="21" hidden="1">'8721'!$A$1:$S$159</definedName>
    <definedName name="Z_DE3A1FFE_44A0_41BD_98AB_2A2226968564_.wvu.PrintArea" localSheetId="22" hidden="1">'8751'!$A$1:$S$163</definedName>
    <definedName name="Z_DE3A1FFE_44A0_41BD_98AB_2A2226968564_.wvu.PrintArea" localSheetId="33" hidden="1">'9940'!$A$1:$S$128</definedName>
    <definedName name="Z_DE3A1FFE_44A0_41BD_98AB_2A2226968564_.wvu.PrintArea" localSheetId="34" hidden="1">'9999'!$A$1:$S$32</definedName>
    <definedName name="Z_DE3A1FFE_44A0_41BD_98AB_2A2226968564_.wvu.PrintArea" localSheetId="29" hidden="1">'GF-Infra Economic 8752-53'!$A$1:$S$53</definedName>
    <definedName name="Z_DE3A1FFE_44A0_41BD_98AB_2A2226968564_.wvu.PrintArea" localSheetId="28" hidden="1">'GF-Infra Social 3999-49-69'!$A$1:$S$63</definedName>
    <definedName name="Z_DE3A1FFE_44A0_41BD_98AB_2A2226968564_.wvu.PrintTitles" localSheetId="1" hidden="1">'1011'!$1:$14</definedName>
    <definedName name="Z_DE3A1FFE_44A0_41BD_98AB_2A2226968564_.wvu.PrintTitles" localSheetId="3" hidden="1">'1011 ES'!$1:$14</definedName>
    <definedName name="Z_DE3A1FFE_44A0_41BD_98AB_2A2226968564_.wvu.PrintTitles" localSheetId="2" hidden="1">'1011 GPS'!$1:$14</definedName>
    <definedName name="Z_DE3A1FFE_44A0_41BD_98AB_2A2226968564_.wvu.PrintTitles" localSheetId="0" hidden="1">'1011 GPS FINAL'!$1:$14</definedName>
    <definedName name="Z_DE3A1FFE_44A0_41BD_98AB_2A2226968564_.wvu.PrintTitles" localSheetId="4" hidden="1">'1011 SS'!$1:$14</definedName>
    <definedName name="Z_DE3A1FFE_44A0_41BD_98AB_2A2226968564_.wvu.PrintTitles" localSheetId="5" hidden="1">'1021'!$1:$14</definedName>
    <definedName name="Z_DE3A1FFE_44A0_41BD_98AB_2A2226968564_.wvu.PrintTitles" localSheetId="6" hidden="1">'1022'!$1:$13</definedName>
    <definedName name="Z_DE3A1FFE_44A0_41BD_98AB_2A2226968564_.wvu.PrintTitles" localSheetId="7" hidden="1">'1031'!$1:$13</definedName>
    <definedName name="Z_DE3A1FFE_44A0_41BD_98AB_2A2226968564_.wvu.PrintTitles" localSheetId="9" hidden="1">'1031 ES'!$1:$13</definedName>
    <definedName name="Z_DE3A1FFE_44A0_41BD_98AB_2A2226968564_.wvu.PrintTitles" localSheetId="8" hidden="1">'1031 GPS'!$1:$13</definedName>
    <definedName name="Z_DE3A1FFE_44A0_41BD_98AB_2A2226968564_.wvu.PrintTitles" localSheetId="10" hidden="1">'1031 SS'!$1:$13</definedName>
    <definedName name="Z_DE3A1FFE_44A0_41BD_98AB_2A2226968564_.wvu.PrintTitles" localSheetId="11" hidden="1">'1032'!$1:$14</definedName>
    <definedName name="Z_DE3A1FFE_44A0_41BD_98AB_2A2226968564_.wvu.PrintTitles" localSheetId="12" hidden="1">'1041'!$1:$14</definedName>
    <definedName name="Z_DE3A1FFE_44A0_41BD_98AB_2A2226968564_.wvu.PrintTitles" localSheetId="13" hidden="1">'1061'!$1:$14</definedName>
    <definedName name="Z_DE3A1FFE_44A0_41BD_98AB_2A2226968564_.wvu.PrintTitles" localSheetId="14" hidden="1">'1071'!$1:$14</definedName>
    <definedName name="Z_DE3A1FFE_44A0_41BD_98AB_2A2226968564_.wvu.PrintTitles" localSheetId="15" hidden="1">'1081'!$1:$14</definedName>
    <definedName name="Z_DE3A1FFE_44A0_41BD_98AB_2A2226968564_.wvu.PrintTitles" localSheetId="16" hidden="1">'1091'!$1:$14</definedName>
    <definedName name="Z_DE3A1FFE_44A0_41BD_98AB_2A2226968564_.wvu.PrintTitles" localSheetId="17" hidden="1">'1101'!$1:$14</definedName>
    <definedName name="Z_DE3A1FFE_44A0_41BD_98AB_2A2226968564_.wvu.PrintTitles" localSheetId="18" hidden="1">'1131'!$1:$14</definedName>
    <definedName name="Z_DE3A1FFE_44A0_41BD_98AB_2A2226968564_.wvu.PrintTitles" localSheetId="32" hidden="1">'1201'!$1:$14</definedName>
    <definedName name="Z_DE3A1FFE_44A0_41BD_98AB_2A2226968564_.wvu.PrintTitles" localSheetId="27" hidden="1">'1999-GPS'!$1:$14</definedName>
    <definedName name="Z_DE3A1FFE_44A0_41BD_98AB_2A2226968564_.wvu.PrintTitles" localSheetId="31" hidden="1">'20% Economic 8918'!$1:$14</definedName>
    <definedName name="Z_DE3A1FFE_44A0_41BD_98AB_2A2226968564_.wvu.PrintTitles" localSheetId="30" hidden="1">'20% Social 4918-6918'!$1:$14</definedName>
    <definedName name="Z_DE3A1FFE_44A0_41BD_98AB_2A2226968564_.wvu.PrintTitles" localSheetId="25" hidden="1">'3361 (1)'!$1:$14</definedName>
    <definedName name="Z_DE3A1FFE_44A0_41BD_98AB_2A2226968564_.wvu.PrintTitles" localSheetId="26" hidden="1">'3361 (2)'!$1:$14</definedName>
    <definedName name="Z_DE3A1FFE_44A0_41BD_98AB_2A2226968564_.wvu.PrintTitles" localSheetId="24" hidden="1">'4411'!$1:$14</definedName>
    <definedName name="Z_DE3A1FFE_44A0_41BD_98AB_2A2226968564_.wvu.PrintTitles" localSheetId="23" hidden="1">'4421'!$1:$14</definedName>
    <definedName name="Z_DE3A1FFE_44A0_41BD_98AB_2A2226968564_.wvu.PrintTitles" localSheetId="19" hidden="1">'7611'!$1:$14</definedName>
    <definedName name="Z_DE3A1FFE_44A0_41BD_98AB_2A2226968564_.wvu.PrintTitles" localSheetId="20" hidden="1">'8711'!$1:$14</definedName>
    <definedName name="Z_DE3A1FFE_44A0_41BD_98AB_2A2226968564_.wvu.PrintTitles" localSheetId="21" hidden="1">'8721'!$1:$14</definedName>
    <definedName name="Z_DE3A1FFE_44A0_41BD_98AB_2A2226968564_.wvu.PrintTitles" localSheetId="22" hidden="1">'8751'!$1:$14</definedName>
    <definedName name="Z_DE3A1FFE_44A0_41BD_98AB_2A2226968564_.wvu.PrintTitles" localSheetId="33" hidden="1">'9940'!$1:$14</definedName>
    <definedName name="Z_DE3A1FFE_44A0_41BD_98AB_2A2226968564_.wvu.PrintTitles" localSheetId="34" hidden="1">'9999'!$1:$14</definedName>
    <definedName name="Z_DE3A1FFE_44A0_41BD_98AB_2A2226968564_.wvu.PrintTitles" localSheetId="29" hidden="1">'GF-Infra Economic 8752-53'!$1:$14</definedName>
    <definedName name="Z_DE3A1FFE_44A0_41BD_98AB_2A2226968564_.wvu.PrintTitles" localSheetId="28" hidden="1">'GF-Infra Social 3999-49-69'!$1:$14</definedName>
    <definedName name="Z_DE3A1FFE_44A0_41BD_98AB_2A2226968564_.wvu.Rows" localSheetId="3" hidden="1">'1011 ES'!$17:$17,'1011 ES'!$19:$20,'1011 ES'!$22:$24,'1011 ES'!$32:$32,'1011 ES'!$38:$42,'1011 ES'!$44:$56,'1011 ES'!$58:$61,'1011 ES'!$63:$67,'1011 ES'!$72:$77,'1011 ES'!$79:$79,'1011 ES'!$81:$82</definedName>
    <definedName name="Z_DE3A1FFE_44A0_41BD_98AB_2A2226968564_.wvu.Rows" localSheetId="2" hidden="1">'1011 GPS'!$22:$22,'1011 GPS'!$73:$73</definedName>
    <definedName name="Z_DE3A1FFE_44A0_41BD_98AB_2A2226968564_.wvu.Rows" localSheetId="0" hidden="1">'1011 GPS FINAL'!$22:$22,'1011 GPS FINAL'!$73:$73</definedName>
    <definedName name="Z_DE3A1FFE_44A0_41BD_98AB_2A2226968564_.wvu.Rows" localSheetId="4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DE3A1FFE_44A0_41BD_98AB_2A2226968564_.wvu.Rows" localSheetId="5" hidden="1">'1021'!$22:$29,'1021'!$37:$38,'1021'!$41:$41,'1021'!$46:$46,'1021'!$48:$54,'1021'!$56:$60,'1021'!$62:$65,'1021'!$67:$90,'1021'!$96:$109,'1021'!$115:$124,'1021'!$127:$128,'1021'!$130:$133,'1021'!$135:$148,'1021'!$156:$162</definedName>
    <definedName name="Z_DE3A1FFE_44A0_41BD_98AB_2A2226968564_.wvu.Rows" localSheetId="6" hidden="1">'1022'!$17:$17,'1022'!$22:$26,'1022'!$28:$29,'1022'!$37:$38,'1022'!$41:$41,'1022'!$46:$46,'1022'!$48:$54,'1022'!$56:$60,'1022'!$62:$64,'1022'!$68:$69,'1022'!$72:$72,'1022'!$76:$79,'1022'!$82:$111,'1022'!$114:$124,'1022'!$127:$132,'1022'!$135:$147</definedName>
    <definedName name="Z_DE3A1FFE_44A0_41BD_98AB_2A2226968564_.wvu.Rows" localSheetId="7" hidden="1">'1031'!$16:$16,'1031'!$21:$28,'1031'!$36:$37,'1031'!$40:$40,'1031'!$45:$45,'1031'!$47:$50,'1031'!$52:$54,'1031'!$56:$57,'1031'!$59:$60,'1031'!$64:$64,'1031'!$68:$68,'1031'!$70:$90,'1031'!$93:$93,'1031'!$95:$107,'1031'!$115:$125,'1031'!$127:$128,'1031'!$130:$133,'1031'!$135:$148</definedName>
    <definedName name="Z_DE3A1FFE_44A0_41BD_98AB_2A2226968564_.wvu.Rows" localSheetId="9" hidden="1">'1031 ES'!$16:$16,'1031 ES'!$18:$19,'1031 ES'!$21:$28,'1031 ES'!$36:$38,'1031 ES'!$40:$40,'1031 ES'!$45:$54,'1031 ES'!$56:$68,'1031 ES'!$70:$108,'1031 ES'!$110:$111,'1031 ES'!$115:$125,'1031 ES'!$127:$145,'1031 ES'!$147:$148</definedName>
    <definedName name="Z_DE3A1FFE_44A0_41BD_98AB_2A2226968564_.wvu.Rows" localSheetId="8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DE3A1FFE_44A0_41BD_98AB_2A2226968564_.wvu.Rows" localSheetId="10" hidden="1">'1031 SS'!$16:$16,'1031 SS'!$18:$19,'1031 SS'!$21:$28,'1031 SS'!$36:$38,'1031 SS'!$40:$40,'1031 SS'!$45:$60,'1031 SS'!$62:$111,'1031 SS'!$115:$151</definedName>
    <definedName name="Z_DE3A1FFE_44A0_41BD_98AB_2A2226968564_.wvu.Rows" localSheetId="11" hidden="1">'1032'!$18:$18,'1032'!$23:$30,'1032'!$38:$39,'1032'!$42:$42,'1032'!$48:$48,'1032'!$50:$62,'1032'!$64:$71,'1032'!$73:$81,'1032'!$83:$111,'1032'!$116:$126,'1032'!$128:$132,'1032'!$134:$148</definedName>
    <definedName name="Z_DE3A1FFE_44A0_41BD_98AB_2A2226968564_.wvu.Rows" localSheetId="12" hidden="1">'1041'!$18:$18,'1041'!$23:$30,'1041'!$38:$39,'1041'!$42:$42,'1041'!$48:$48,'1041'!$50:$56,'1041'!$58:$94,'1041'!$96:$111,'1041'!$115:$125,'1041'!$129:$133,'1041'!$135:$149</definedName>
    <definedName name="Z_DE3A1FFE_44A0_41BD_98AB_2A2226968564_.wvu.Rows" localSheetId="13" hidden="1">'1061'!$17:$17,'1061'!$22:$29,'1061'!$37:$38,'1061'!$41:$41,'1061'!$46:$46,'1061'!$48:$48,'1061'!$51:$55,'1061'!$57:$61,'1061'!$68:$71,'1061'!$83:$110,'1061'!$114:$122,'1061'!$124:$124,'1061'!$126:$127,'1061'!$129:$140,'1061'!$142:$144</definedName>
    <definedName name="Z_DE3A1FFE_44A0_41BD_98AB_2A2226968564_.wvu.Rows" localSheetId="14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DE3A1FFE_44A0_41BD_98AB_2A2226968564_.wvu.Rows" localSheetId="15" hidden="1">'1081'!$17:$17,'1081'!$22:$29,'1081'!$37:$38,'1081'!$41:$41,'1081'!$46:$46,'1081'!$48:$54,'1081'!$56:$63,'1081'!$65:$91,'1081'!$94:$108,'1081'!$112:$122,'1081'!$125:$129,'1081'!$132:$144</definedName>
    <definedName name="Z_DE3A1FFE_44A0_41BD_98AB_2A2226968564_.wvu.Rows" localSheetId="16" hidden="1">'1091'!$17:$17,'1091'!$22:$28,'1091'!$37:$37,'1091'!$41:$41,'1091'!$46:$46,'1091'!$49:$49,'1091'!$51:$55,'1091'!$57:$61,'1091'!$63:$65,'1091'!$67:$93,'1091'!$95:$96,'1091'!$98:$107,'1091'!$125:$125,'1091'!$127:$131,'1091'!$133:$137,'1091'!$139:$148,'1091'!$151:$152</definedName>
    <definedName name="Z_DE3A1FFE_44A0_41BD_98AB_2A2226968564_.wvu.Rows" localSheetId="17" hidden="1">'1101'!$17:$17,'1101'!$22:$29,'1101'!$37:$37,'1101'!$41:$41,'1101'!$46:$46,'1101'!$48:$48,'1101'!$50:$55,'1101'!$57:$65,'1101'!$67:$94,'1101'!$97:$111,'1101'!$115:$125,'1101'!$128:$132,'1101'!$134:$148</definedName>
    <definedName name="Z_DE3A1FFE_44A0_41BD_98AB_2A2226968564_.wvu.Rows" localSheetId="18" hidden="1">'1131'!$17:$17,'1131'!$22:$29,'1131'!$37:$39,'1131'!$41:$41,'1131'!$46:$46,'1131'!$48:$61,'1131'!$63:$65,'1131'!$67:$94,'1131'!$97:$111,'1131'!$115:$125,'1131'!$127:$131,'1131'!$133:$134,'1131'!$136:$147</definedName>
    <definedName name="Z_DE3A1FFE_44A0_41BD_98AB_2A2226968564_.wvu.Rows" localSheetId="32" hidden="1">'1201'!$31:$31,'1201'!$44:$54,'1201'!$56:$56,'1201'!$61:$75</definedName>
    <definedName name="Z_DE3A1FFE_44A0_41BD_98AB_2A2226968564_.wvu.Rows" localSheetId="25" hidden="1">'3361 (1)'!$17:$26,'3361 (1)'!$28:$32,'3361 (1)'!$34:$34,'3361 (1)'!$36:$37,'3361 (1)'!$40:$60,'3361 (1)'!$64:$65,'3361 (1)'!$68:$68,'3361 (1)'!$70:$82,'3361 (1)'!$85:$95,'3361 (1)'!$98:$113,'3361 (1)'!$116:$116,'3361 (1)'!$118:$119</definedName>
    <definedName name="Z_DE3A1FFE_44A0_41BD_98AB_2A2226968564_.wvu.Rows" localSheetId="26" hidden="1">'3361 (2)'!$17:$25,'3361 (2)'!$27:$31,'3361 (2)'!$35:$36,'3361 (2)'!$39:$59,'3361 (2)'!$62:$63,'3361 (2)'!$66:$66,'3361 (2)'!$68:$80,'3361 (2)'!$86:$91,'3361 (2)'!$94:$107</definedName>
    <definedName name="Z_DE3A1FFE_44A0_41BD_98AB_2A2226968564_.wvu.Rows" localSheetId="24" hidden="1">'4411'!$26:$26,'4411'!$34:$35,'4411'!$37:$37,'4411'!$42:$50,'4411'!$54:$58,'4411'!$62:$62,'4411'!$64:$109,'4411'!$112:$122,'4411'!$124:$148</definedName>
    <definedName name="Z_DE3A1FFE_44A0_41BD_98AB_2A2226968564_.wvu.Rows" localSheetId="23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DE3A1FFE_44A0_41BD_98AB_2A2226968564_.wvu.Rows" localSheetId="19" hidden="1">'7611'!$18:$18,'7611'!$23:$27,'7611'!$29:$30,'7611'!$38:$40,'7611'!$42:$42,'7611'!$48:$48,'7611'!$50:$53,'7611'!$55:$57,'7611'!$60:$63,'7611'!$65:$70,'7611'!$72:$95,'7611'!$97:$100,'7611'!$102:$112,'7611'!$117:$127,'7611'!$130:$137,'7611'!$141:$151</definedName>
    <definedName name="Z_DE3A1FFE_44A0_41BD_98AB_2A2226968564_.wvu.Rows" localSheetId="20" hidden="1">'8711'!$18:$18,'8711'!$23:$30,'8711'!$38:$38,'8711'!$42:$42,'8711'!$48:$48,'8711'!$50:$56,'8711'!$59:$62,'8711'!$64:$111,'8711'!$114:$124,'8711'!$127:$147</definedName>
    <definedName name="Z_DE3A1FFE_44A0_41BD_98AB_2A2226968564_.wvu.Rows" localSheetId="21" hidden="1">'8721'!$18:$18,'8721'!$23:$30,'8721'!$38:$39,'8721'!$42:$42,'8721'!$48:$48,'8721'!$50:$51,'8721'!$53:$54,'8721'!$59:$62,'8721'!$64:$111,'8721'!$114:$124,'8721'!$127:$147</definedName>
    <definedName name="Z_DE3A1FFE_44A0_41BD_98AB_2A2226968564_.wvu.Rows" localSheetId="22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DE3A1FFE_44A0_41BD_98AB_2A2226968564_.wvu.Rows" localSheetId="33" hidden="1">'9940'!$16:$17,'9940'!$20:$25,'9940'!$28:$34,'9940'!$37:$65,'9940'!$68:$85,'9940'!$94:$96,'9940'!$101:$106,'9940'!$109:$112,'9940'!$114:$114,'9940'!$117:$118</definedName>
    <definedName name="Z_DE3A1FFE_44A0_41BD_98AB_2A2226968564_.wvu.Rows" localSheetId="29" hidden="1">'GF-Infra Economic 8752-53'!$23:$23,'GF-Infra Economic 8752-53'!$25:$26,'GF-Infra Economic 8752-53'!$34:$34,'GF-Infra Economic 8752-53'!$36:$36,'GF-Infra Economic 8752-53'!$40:$44</definedName>
    <definedName name="Z_EE975321_C15E_44A7_AFC6_A307116A4F6E_.wvu.PrintArea" localSheetId="1" hidden="1">'1011'!$A$1:$S$95</definedName>
    <definedName name="Z_EE975321_C15E_44A7_AFC6_A307116A4F6E_.wvu.PrintArea" localSheetId="3" hidden="1">'1011 ES'!$A$1:$S$93</definedName>
    <definedName name="Z_EE975321_C15E_44A7_AFC6_A307116A4F6E_.wvu.PrintArea" localSheetId="2" hidden="1">'1011 GPS'!$A$1:$S$93</definedName>
    <definedName name="Z_EE975321_C15E_44A7_AFC6_A307116A4F6E_.wvu.PrintArea" localSheetId="0" hidden="1">'1011 GPS FINAL'!$A$1:$S$94</definedName>
    <definedName name="Z_EE975321_C15E_44A7_AFC6_A307116A4F6E_.wvu.PrintArea" localSheetId="4" hidden="1">'1011 SS'!$A$1:$S$93</definedName>
    <definedName name="Z_EE975321_C15E_44A7_AFC6_A307116A4F6E_.wvu.PrintArea" localSheetId="5" hidden="1">'1021'!$A$1:$S$169</definedName>
    <definedName name="Z_EE975321_C15E_44A7_AFC6_A307116A4F6E_.wvu.PrintArea" localSheetId="6" hidden="1">'1022'!$A$1:$S$159</definedName>
    <definedName name="Z_EE975321_C15E_44A7_AFC6_A307116A4F6E_.wvu.PrintArea" localSheetId="7" hidden="1">'1031'!$A$1:$S$158</definedName>
    <definedName name="Z_EE975321_C15E_44A7_AFC6_A307116A4F6E_.wvu.PrintArea" localSheetId="9" hidden="1">'1031 ES'!$A$1:$S$161</definedName>
    <definedName name="Z_EE975321_C15E_44A7_AFC6_A307116A4F6E_.wvu.PrintArea" localSheetId="8" hidden="1">'1031 GPS'!$A$1:$S$158</definedName>
    <definedName name="Z_EE975321_C15E_44A7_AFC6_A307116A4F6E_.wvu.PrintArea" localSheetId="10" hidden="1">'1031 SS'!$A$1:$S$159</definedName>
    <definedName name="Z_EE975321_C15E_44A7_AFC6_A307116A4F6E_.wvu.PrintArea" localSheetId="11" hidden="1">'1032'!$A$1:$S$161</definedName>
    <definedName name="Z_EE975321_C15E_44A7_AFC6_A307116A4F6E_.wvu.PrintArea" localSheetId="12" hidden="1">'1041'!$A$1:$S$159</definedName>
    <definedName name="Z_EE975321_C15E_44A7_AFC6_A307116A4F6E_.wvu.PrintArea" localSheetId="13" hidden="1">'1061'!$A$1:$S$155</definedName>
    <definedName name="Z_EE975321_C15E_44A7_AFC6_A307116A4F6E_.wvu.PrintArea" localSheetId="14" hidden="1">'1071'!$A$1:$S$159</definedName>
    <definedName name="Z_EE975321_C15E_44A7_AFC6_A307116A4F6E_.wvu.PrintArea" localSheetId="15" hidden="1">'1081'!$A$1:$S$156</definedName>
    <definedName name="Z_EE975321_C15E_44A7_AFC6_A307116A4F6E_.wvu.PrintArea" localSheetId="16" hidden="1">'1091'!$A$1:$S$162</definedName>
    <definedName name="Z_EE975321_C15E_44A7_AFC6_A307116A4F6E_.wvu.PrintArea" localSheetId="17" hidden="1">'1101'!$A$1:$S$160</definedName>
    <definedName name="Z_EE975321_C15E_44A7_AFC6_A307116A4F6E_.wvu.PrintArea" localSheetId="18" hidden="1">'1131'!$A$1:$S$159</definedName>
    <definedName name="Z_EE975321_C15E_44A7_AFC6_A307116A4F6E_.wvu.PrintArea" localSheetId="32" hidden="1">'1201'!$A$1:$S$88</definedName>
    <definedName name="Z_EE975321_C15E_44A7_AFC6_A307116A4F6E_.wvu.PrintArea" localSheetId="27" hidden="1">'1999-GPS'!$A$1:$S$57</definedName>
    <definedName name="Z_EE975321_C15E_44A7_AFC6_A307116A4F6E_.wvu.PrintArea" localSheetId="31" hidden="1">'20% Economic 8918'!$A$1:$S$34</definedName>
    <definedName name="Z_EE975321_C15E_44A7_AFC6_A307116A4F6E_.wvu.PrintArea" localSheetId="30" hidden="1">'20% Social 4918-6918'!$A$1:$S$42</definedName>
    <definedName name="Z_EE975321_C15E_44A7_AFC6_A307116A4F6E_.wvu.PrintArea" localSheetId="25" hidden="1">'3361 (1)'!$A$1:$S$129</definedName>
    <definedName name="Z_EE975321_C15E_44A7_AFC6_A307116A4F6E_.wvu.PrintArea" localSheetId="26" hidden="1">'3361 (2)'!$A$1:$S$117</definedName>
    <definedName name="Z_EE975321_C15E_44A7_AFC6_A307116A4F6E_.wvu.PrintArea" localSheetId="24" hidden="1">'4411'!$A$1:$S$156</definedName>
    <definedName name="Z_EE975321_C15E_44A7_AFC6_A307116A4F6E_.wvu.PrintArea" localSheetId="23" hidden="1">'4421'!$A$1:$S$163</definedName>
    <definedName name="Z_EE975321_C15E_44A7_AFC6_A307116A4F6E_.wvu.PrintArea" localSheetId="19" hidden="1">'7611'!$A$1:$S$163</definedName>
    <definedName name="Z_EE975321_C15E_44A7_AFC6_A307116A4F6E_.wvu.PrintArea" localSheetId="20" hidden="1">'8711'!$A$1:$S$159</definedName>
    <definedName name="Z_EE975321_C15E_44A7_AFC6_A307116A4F6E_.wvu.PrintArea" localSheetId="21" hidden="1">'8721'!$A$1:$S$159</definedName>
    <definedName name="Z_EE975321_C15E_44A7_AFC6_A307116A4F6E_.wvu.PrintArea" localSheetId="22" hidden="1">'8751'!$A$1:$S$163</definedName>
    <definedName name="Z_EE975321_C15E_44A7_AFC6_A307116A4F6E_.wvu.PrintArea" localSheetId="33" hidden="1">'9940'!$A$1:$S$128</definedName>
    <definedName name="Z_EE975321_C15E_44A7_AFC6_A307116A4F6E_.wvu.PrintArea" localSheetId="34" hidden="1">'9999'!$A$1:$S$32</definedName>
    <definedName name="Z_EE975321_C15E_44A7_AFC6_A307116A4F6E_.wvu.PrintArea" localSheetId="29" hidden="1">'GF-Infra Economic 8752-53'!$A$1:$S$53</definedName>
    <definedName name="Z_EE975321_C15E_44A7_AFC6_A307116A4F6E_.wvu.PrintArea" localSheetId="28" hidden="1">'GF-Infra Social 3999-49-69'!$A$1:$S$63</definedName>
    <definedName name="Z_EE975321_C15E_44A7_AFC6_A307116A4F6E_.wvu.PrintTitles" localSheetId="1" hidden="1">'1011'!$1:$14</definedName>
    <definedName name="Z_EE975321_C15E_44A7_AFC6_A307116A4F6E_.wvu.PrintTitles" localSheetId="3" hidden="1">'1011 ES'!$1:$14</definedName>
    <definedName name="Z_EE975321_C15E_44A7_AFC6_A307116A4F6E_.wvu.PrintTitles" localSheetId="2" hidden="1">'1011 GPS'!$1:$14</definedName>
    <definedName name="Z_EE975321_C15E_44A7_AFC6_A307116A4F6E_.wvu.PrintTitles" localSheetId="0" hidden="1">'1011 GPS FINAL'!$1:$14</definedName>
    <definedName name="Z_EE975321_C15E_44A7_AFC6_A307116A4F6E_.wvu.PrintTitles" localSheetId="4" hidden="1">'1011 SS'!$1:$14</definedName>
    <definedName name="Z_EE975321_C15E_44A7_AFC6_A307116A4F6E_.wvu.PrintTitles" localSheetId="5" hidden="1">'1021'!$1:$14</definedName>
    <definedName name="Z_EE975321_C15E_44A7_AFC6_A307116A4F6E_.wvu.PrintTitles" localSheetId="6" hidden="1">'1022'!$1:$13</definedName>
    <definedName name="Z_EE975321_C15E_44A7_AFC6_A307116A4F6E_.wvu.PrintTitles" localSheetId="7" hidden="1">'1031'!$1:$13</definedName>
    <definedName name="Z_EE975321_C15E_44A7_AFC6_A307116A4F6E_.wvu.PrintTitles" localSheetId="9" hidden="1">'1031 ES'!$1:$13</definedName>
    <definedName name="Z_EE975321_C15E_44A7_AFC6_A307116A4F6E_.wvu.PrintTitles" localSheetId="8" hidden="1">'1031 GPS'!$1:$13</definedName>
    <definedName name="Z_EE975321_C15E_44A7_AFC6_A307116A4F6E_.wvu.PrintTitles" localSheetId="10" hidden="1">'1031 SS'!$1:$13</definedName>
    <definedName name="Z_EE975321_C15E_44A7_AFC6_A307116A4F6E_.wvu.PrintTitles" localSheetId="11" hidden="1">'1032'!$1:$14</definedName>
    <definedName name="Z_EE975321_C15E_44A7_AFC6_A307116A4F6E_.wvu.PrintTitles" localSheetId="12" hidden="1">'1041'!$1:$14</definedName>
    <definedName name="Z_EE975321_C15E_44A7_AFC6_A307116A4F6E_.wvu.PrintTitles" localSheetId="13" hidden="1">'1061'!$1:$14</definedName>
    <definedName name="Z_EE975321_C15E_44A7_AFC6_A307116A4F6E_.wvu.PrintTitles" localSheetId="14" hidden="1">'1071'!$1:$14</definedName>
    <definedName name="Z_EE975321_C15E_44A7_AFC6_A307116A4F6E_.wvu.PrintTitles" localSheetId="15" hidden="1">'1081'!$1:$14</definedName>
    <definedName name="Z_EE975321_C15E_44A7_AFC6_A307116A4F6E_.wvu.PrintTitles" localSheetId="16" hidden="1">'1091'!$1:$14</definedName>
    <definedName name="Z_EE975321_C15E_44A7_AFC6_A307116A4F6E_.wvu.PrintTitles" localSheetId="17" hidden="1">'1101'!$1:$14</definedName>
    <definedName name="Z_EE975321_C15E_44A7_AFC6_A307116A4F6E_.wvu.PrintTitles" localSheetId="18" hidden="1">'1131'!$1:$14</definedName>
    <definedName name="Z_EE975321_C15E_44A7_AFC6_A307116A4F6E_.wvu.PrintTitles" localSheetId="32" hidden="1">'1201'!$1:$14</definedName>
    <definedName name="Z_EE975321_C15E_44A7_AFC6_A307116A4F6E_.wvu.PrintTitles" localSheetId="27" hidden="1">'1999-GPS'!$1:$14</definedName>
    <definedName name="Z_EE975321_C15E_44A7_AFC6_A307116A4F6E_.wvu.PrintTitles" localSheetId="31" hidden="1">'20% Economic 8918'!$1:$14</definedName>
    <definedName name="Z_EE975321_C15E_44A7_AFC6_A307116A4F6E_.wvu.PrintTitles" localSheetId="30" hidden="1">'20% Social 4918-6918'!$1:$14</definedName>
    <definedName name="Z_EE975321_C15E_44A7_AFC6_A307116A4F6E_.wvu.PrintTitles" localSheetId="25" hidden="1">'3361 (1)'!$1:$14</definedName>
    <definedName name="Z_EE975321_C15E_44A7_AFC6_A307116A4F6E_.wvu.PrintTitles" localSheetId="26" hidden="1">'3361 (2)'!$1:$14</definedName>
    <definedName name="Z_EE975321_C15E_44A7_AFC6_A307116A4F6E_.wvu.PrintTitles" localSheetId="24" hidden="1">'4411'!$1:$14</definedName>
    <definedName name="Z_EE975321_C15E_44A7_AFC6_A307116A4F6E_.wvu.PrintTitles" localSheetId="23" hidden="1">'4421'!$1:$14</definedName>
    <definedName name="Z_EE975321_C15E_44A7_AFC6_A307116A4F6E_.wvu.PrintTitles" localSheetId="19" hidden="1">'7611'!$1:$14</definedName>
    <definedName name="Z_EE975321_C15E_44A7_AFC6_A307116A4F6E_.wvu.PrintTitles" localSheetId="20" hidden="1">'8711'!$1:$14</definedName>
    <definedName name="Z_EE975321_C15E_44A7_AFC6_A307116A4F6E_.wvu.PrintTitles" localSheetId="21" hidden="1">'8721'!$1:$14</definedName>
    <definedName name="Z_EE975321_C15E_44A7_AFC6_A307116A4F6E_.wvu.PrintTitles" localSheetId="22" hidden="1">'8751'!$1:$14</definedName>
    <definedName name="Z_EE975321_C15E_44A7_AFC6_A307116A4F6E_.wvu.PrintTitles" localSheetId="33" hidden="1">'9940'!$1:$14</definedName>
    <definedName name="Z_EE975321_C15E_44A7_AFC6_A307116A4F6E_.wvu.PrintTitles" localSheetId="34" hidden="1">'9999'!$1:$14</definedName>
    <definedName name="Z_EE975321_C15E_44A7_AFC6_A307116A4F6E_.wvu.PrintTitles" localSheetId="29" hidden="1">'GF-Infra Economic 8752-53'!$1:$14</definedName>
    <definedName name="Z_EE975321_C15E_44A7_AFC6_A307116A4F6E_.wvu.PrintTitles" localSheetId="28" hidden="1">'GF-Infra Social 3999-49-69'!$1:$14</definedName>
    <definedName name="Z_EE975321_C15E_44A7_AFC6_A307116A4F6E_.wvu.Rows" localSheetId="1" hidden="1">'1011'!$22:$22,'1011'!$74:$74</definedName>
    <definedName name="Z_EE975321_C15E_44A7_AFC6_A307116A4F6E_.wvu.Rows" localSheetId="3" hidden="1">'1011 ES'!$17:$17,'1011 ES'!$19:$20,'1011 ES'!$22:$24,'1011 ES'!$32:$32,'1011 ES'!$38:$42,'1011 ES'!$58:$61,'1011 ES'!$63:$67,'1011 ES'!$72:$77,'1011 ES'!$79:$79,'1011 ES'!$81:$82</definedName>
    <definedName name="Z_EE975321_C15E_44A7_AFC6_A307116A4F6E_.wvu.Rows" localSheetId="2" hidden="1">'1011 GPS'!$22:$22,'1011 GPS'!$73:$73</definedName>
    <definedName name="Z_EE975321_C15E_44A7_AFC6_A307116A4F6E_.wvu.Rows" localSheetId="0" hidden="1">'1011 GPS FINAL'!$22:$22,'1011 GPS FINAL'!$73:$73</definedName>
    <definedName name="Z_EE975321_C15E_44A7_AFC6_A307116A4F6E_.wvu.Rows" localSheetId="4" hidden="1">'1011 SS'!$17:$17,'1011 SS'!$19:$20,'1011 SS'!$22:$24,'1011 SS'!$32:$32,'1011 SS'!$38:$39,'1011 SS'!$41:$42,'1011 SS'!$44:$44,'1011 SS'!$57:$60,'1011 SS'!$63:$66,'1011 SS'!$81:$82</definedName>
    <definedName name="Z_EE975321_C15E_44A7_AFC6_A307116A4F6E_.wvu.Rows" localSheetId="5" hidden="1">'1021'!$22:$26,'1021'!$28:$28,'1021'!$37:$38,'1021'!$41:$41,'1021'!$46:$46,'1021'!$48:$54,'1021'!$56:$60,'1021'!$62:$64,'1021'!$68:$91,'1021'!$93:$94,'1021'!$96:$109,'1021'!$115:$125,'1021'!$130:$133,'1021'!$136:$148,'1021'!$156:$162</definedName>
    <definedName name="Z_EE975321_C15E_44A7_AFC6_A307116A4F6E_.wvu.Rows" localSheetId="6" hidden="1">'1022'!$17:$17,'1022'!$22:$26,'1022'!$28:$29,'1022'!$37:$38,'1022'!$41:$41,'1022'!$46:$46,'1022'!$48:$54,'1022'!$56:$60,'1022'!$62:$64,'1022'!$68:$69,'1022'!$72:$72,'1022'!$76:$79,'1022'!$82:$111,'1022'!$114:$124,'1022'!$127:$131,'1022'!$136:$144,'1022'!$146:$147</definedName>
    <definedName name="Z_EE975321_C15E_44A7_AFC6_A307116A4F6E_.wvu.Rows" localSheetId="7" hidden="1">'1031'!$16:$16,'1031'!$21:$25,'1031'!$27:$28,'1031'!$36:$37,'1031'!$40:$40,'1031'!$45:$45,'1031'!$47:$50,'1031'!$52:$54,'1031'!$56:$57,'1031'!$59:$60,'1031'!$64:$64,'1031'!$68:$68,'1031'!$70:$90,'1031'!$93:$93,'1031'!$95:$107,'1031'!$115:$125,'1031'!$127:$128,'1031'!$130:$145,'1031'!$147:$148</definedName>
    <definedName name="Z_EE975321_C15E_44A7_AFC6_A307116A4F6E_.wvu.Rows" localSheetId="9" hidden="1">'1031 ES'!$16:$16,'1031 ES'!$18:$19,'1031 ES'!$21:$28,'1031 ES'!$36:$38,'1031 ES'!$40:$40,'1031 ES'!$45:$54,'1031 ES'!$56:$68,'1031 ES'!$70:$108,'1031 ES'!$110:$111,'1031 ES'!$115:$125,'1031 ES'!$127:$145,'1031 ES'!$147:$148</definedName>
    <definedName name="Z_EE975321_C15E_44A7_AFC6_A307116A4F6E_.wvu.Rows" localSheetId="8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GPS'!$130:$131,'1031 GPS'!$133:$135,'1031 GPS'!$137:$145,'1031 GPS'!$147:$148</definedName>
    <definedName name="Z_EE975321_C15E_44A7_AFC6_A307116A4F6E_.wvu.Rows" localSheetId="10" hidden="1">'1031 SS'!$16:$16,'1031 SS'!$18:$19,'1031 SS'!$21:$28,'1031 SS'!$36:$38,'1031 SS'!$40:$40,'1031 SS'!$45:$60,'1031 SS'!$62:$111,'1031 SS'!$115:$151</definedName>
    <definedName name="Z_EE975321_C15E_44A7_AFC6_A307116A4F6E_.wvu.Rows" localSheetId="11" hidden="1">'1032'!$18:$18,'1032'!$23:$27,'1032'!$29:$29,'1032'!$38:$39,'1032'!$42:$42,'1032'!$50:$62,'1032'!$64:$71,'1032'!$73:$81,'1032'!$83:$111,'1032'!$116:$150</definedName>
    <definedName name="Z_EE975321_C15E_44A7_AFC6_A307116A4F6E_.wvu.Rows" localSheetId="12" hidden="1">'1041'!$18:$18,'1041'!$23:$27,'1041'!$29:$29,'1041'!$38:$39,'1041'!$42:$42,'1041'!$48:$48,'1041'!$50:$56,'1041'!$58:$94,'1041'!$96:$111,'1041'!$115:$125,'1041'!$130:$135,'1041'!$137:$149</definedName>
    <definedName name="Z_EE975321_C15E_44A7_AFC6_A307116A4F6E_.wvu.Rows" localSheetId="13" hidden="1">'1061'!$17:$17,'1061'!$22:$26,'1061'!$28:$28,'1061'!$37:$38,'1061'!$41:$41,'1061'!$46:$46,'1061'!$48:$48,'1061'!$51:$55,'1061'!$57:$61,'1061'!$68:$71,'1061'!$83:$110,'1061'!$116:$119,'1061'!$129:$140,'1061'!$142:$144</definedName>
    <definedName name="Z_EE975321_C15E_44A7_AFC6_A307116A4F6E_.wvu.Rows" localSheetId="14" hidden="1">'1071'!$17:$17,'1071'!$22:$26,'1071'!$28:$29,'1071'!$37:$38,'1071'!$41:$41,'1071'!$46:$46,'1071'!$48:$48,'1071'!$50:$55,'1071'!$57:$61,'1071'!$63:$65,'1071'!$67:$93,'1071'!$96:$110,'1071'!$114:$124,'1071'!$128:$134,'1071'!$136:$147</definedName>
    <definedName name="Z_EE975321_C15E_44A7_AFC6_A307116A4F6E_.wvu.Rows" localSheetId="15" hidden="1">'1081'!$17:$17,'1081'!$22:$26,'1081'!$28:$28,'1081'!$37:$38,'1081'!$41:$41,'1081'!$46:$46,'1081'!$48:$54,'1081'!$56:$63,'1081'!$65:$91,'1081'!$94:$108,'1081'!$112:$122,'1081'!$125:$129,'1081'!$132:$144</definedName>
    <definedName name="Z_EE975321_C15E_44A7_AFC6_A307116A4F6E_.wvu.Rows" localSheetId="16" hidden="1">'1091'!$17:$17,'1091'!$22:$26,'1091'!$28:$28,'1091'!$37:$38,'1091'!$41:$41,'1091'!$46:$46,'1091'!$48:$49,'1091'!$51:$55,'1091'!$57:$61,'1091'!$63:$65,'1091'!$67:$93,'1091'!$95:$96,'1091'!$98:$107,'1091'!$120:$120,'1091'!$125:$125,'1091'!$127:$131,'1091'!$133:$152</definedName>
    <definedName name="Z_EE975321_C15E_44A7_AFC6_A307116A4F6E_.wvu.Rows" localSheetId="17" hidden="1">'1101'!$17:$17,'1101'!$22:$26,'1101'!$28:$28,'1101'!$37:$38,'1101'!$41:$41,'1101'!$46:$46,'1101'!$48:$55,'1101'!$57:$65,'1101'!$67:$71,'1101'!$73:$94,'1101'!$97:$111,'1101'!$115:$125,'1101'!$129:$132,'1101'!$135:$148</definedName>
    <definedName name="Z_EE975321_C15E_44A7_AFC6_A307116A4F6E_.wvu.Rows" localSheetId="18" hidden="1">'1131'!$17:$17,'1131'!$22:$26,'1131'!$28:$28,'1131'!$37:$39,'1131'!$41:$41,'1131'!$46:$46,'1131'!$48:$61,'1131'!$63:$65,'1131'!$67:$94,'1131'!$97:$111,'1131'!$115:$125,'1131'!$127:$131,'1131'!$133:$134,'1131'!$136:$147</definedName>
    <definedName name="Z_EE975321_C15E_44A7_AFC6_A307116A4F6E_.wvu.Rows" localSheetId="32" hidden="1">'1201'!$31:$31,'1201'!$44:$54,'1201'!$56:$56,'1201'!$61:$66,'1201'!$68:$72,'1201'!$74:$75</definedName>
    <definedName name="Z_EE975321_C15E_44A7_AFC6_A307116A4F6E_.wvu.Rows" localSheetId="27" hidden="1">'1999-GPS'!$25:$25,'1999-GPS'!$28:$28,'1999-GPS'!$38:$38,'1999-GPS'!$41:$41</definedName>
    <definedName name="Z_EE975321_C15E_44A7_AFC6_A307116A4F6E_.wvu.Rows" localSheetId="25" hidden="1">'3361 (1)'!$17:$26,'3361 (1)'!$28:$32,'3361 (1)'!$34:$34,'3361 (1)'!$36:$37,'3361 (1)'!$40:$61,'3361 (1)'!$64:$65,'3361 (1)'!$68:$68,'3361 (1)'!$70:$82,'3361 (1)'!$85:$95,'3361 (1)'!$99:$113,'3361 (1)'!$116:$116,'3361 (1)'!$118:$119</definedName>
    <definedName name="Z_EE975321_C15E_44A7_AFC6_A307116A4F6E_.wvu.Rows" localSheetId="26" hidden="1">'3361 (2)'!$17:$25,'3361 (2)'!$27:$31,'3361 (2)'!$35:$36,'3361 (2)'!$39:$59,'3361 (2)'!$62:$63,'3361 (2)'!$66:$66,'3361 (2)'!$68:$80,'3361 (2)'!$86:$91,'3361 (2)'!$94:$107</definedName>
    <definedName name="Z_EE975321_C15E_44A7_AFC6_A307116A4F6E_.wvu.Rows" localSheetId="24" hidden="1">'4411'!$26:$26,'4411'!$37:$37,'4411'!$43:$43,'4411'!$45:$45,'4411'!$47:$50,'4411'!$54:$58,'4411'!$62:$62,'4411'!$64:$89,'4411'!$91:$109,'4411'!$112:$122,'4411'!$125:$126,'4411'!$128:$135,'4411'!$139:$143,'4411'!$146:$147</definedName>
    <definedName name="Z_EE975321_C15E_44A7_AFC6_A307116A4F6E_.wvu.Rows" localSheetId="23" hidden="1">'4421'!$34:$34,'4421'!$37:$37,'4421'!$43:$43,'4421'!$45:$45,'4421'!$47:$48,'4421'!$50:$50,'4421'!$54:$58,'4421'!$62:$62,'4421'!$65:$65,'4421'!$67:$80,'4421'!$83:$83,'4421'!$85:$89,'4421'!$91:$92,'4421'!$95:$95,'4421'!$97:$106,'4421'!$108:$109,'4421'!$112:$122,'4421'!$125:$126</definedName>
    <definedName name="Z_EE975321_C15E_44A7_AFC6_A307116A4F6E_.wvu.Rows" localSheetId="19" hidden="1">'7611'!$18:$18,'7611'!$23:$27,'7611'!$29:$30,'7611'!$38:$39,'7611'!$42:$42,'7611'!$48:$48,'7611'!$50:$50,'7611'!$52:$53,'7611'!$55:$57,'7611'!$60:$63,'7611'!$65:$65,'7611'!$67:$70,'7611'!$72:$100,'7611'!$103:$112,'7611'!$117:$127,'7611'!$129:$153</definedName>
    <definedName name="Z_EE975321_C15E_44A7_AFC6_A307116A4F6E_.wvu.Rows" localSheetId="20" hidden="1">'8711'!$18:$18,'8711'!$23:$27,'8711'!$29:$29,'8711'!$38:$38,'8711'!$42:$42,'8711'!$48:$48,'8711'!$50:$56,'8711'!$59:$62,'8711'!$64:$111,'8711'!$114:$148</definedName>
    <definedName name="Z_EE975321_C15E_44A7_AFC6_A307116A4F6E_.wvu.Rows" localSheetId="21" hidden="1">'8721'!$18:$18,'8721'!$23:$27,'8721'!$29:$29,'8721'!$38:$39,'8721'!$42:$42,'8721'!$48:$48,'8721'!$50:$51,'8721'!$53:$54,'8721'!$59:$62,'8721'!$64:$111,'8721'!$114:$124,'8721'!$126:$149</definedName>
    <definedName name="Z_EE975321_C15E_44A7_AFC6_A307116A4F6E_.wvu.Rows" localSheetId="22" hidden="1">'8751'!$18:$18,'8751'!$23:$28,'8751'!$30:$30,'8751'!$39:$40,'8751'!$43:$43,'8751'!$49:$49,'8751'!$51:$58,'8751'!$60:$64,'8751'!$66:$76,'8751'!$78:$96,'8751'!$100:$114,'8751'!$117:$127,'8751'!$130:$145,'8751'!$148:$148,'8751'!$150:$151</definedName>
    <definedName name="Z_EE975321_C15E_44A7_AFC6_A307116A4F6E_.wvu.Rows" localSheetId="33" hidden="1">'9940'!$16:$17,'9940'!$20:$25,'9940'!$28:$34,'9940'!$37:$65,'9940'!$68:$85,'9940'!$94:$96,'9940'!$101:$106,'9940'!$109:$112,'9940'!$114:$114,'9940'!$117:$118</definedName>
    <definedName name="Z_EE975321_C15E_44A7_AFC6_A307116A4F6E_.wvu.Rows" localSheetId="29" hidden="1">'GF-Infra Economic 8752-53'!$17:$17,'GF-Infra Economic 8752-53'!$20:$20,'GF-Infra Economic 8752-53'!$23:$23,'GF-Infra Economic 8752-53'!$25:$26,'GF-Infra Economic 8752-53'!$34:$34,'GF-Infra Economic 8752-53'!$36:$38,'GF-Infra Economic 8752-53'!$40:$45</definedName>
    <definedName name="Z_EE975321_C15E_44A7_AFC6_A307116A4F6E_.wvu.Rows" localSheetId="28" hidden="1">'GF-Infra Social 3999-49-69'!$26:$26,'GF-Infra Social 3999-49-69'!$29:$29,'GF-Infra Social 3999-49-69'!$40:$40,'GF-Infra Social 3999-49-69'!$43:$43</definedName>
  </definedNames>
  <calcPr calcId="144525" calcMode="manual"/>
  <customWorkbookViews>
    <customWorkbookView name="My PC - Personal View" guid="{1998FCB8-1FEB-4076-ACE6-A225EE4366B3}" mergeInterval="0" personalView="1" maximized="1" windowWidth="1362" windowHeight="543" tabRatio="932" activeSheetId="31"/>
    <customWorkbookView name="Administrator - Personal View" guid="{870B4CCF-089A-4C19-A059-259DAAB1F3BC}" mergeInterval="0" personalView="1" maximized="1" xWindow="1" yWindow="1" windowWidth="1309" windowHeight="486" tabRatio="910" activeSheetId="25"/>
    <customWorkbookView name="Twinkle - Personal View" guid="{B830B613-BE6E-4840-91D7-D447FD1BCCD2}" mergeInterval="0" personalView="1" maximized="1" xWindow="-8" yWindow="-8" windowWidth="1382" windowHeight="744" tabRatio="910" activeSheetId="24"/>
    <customWorkbookView name="BUDGET OFFICE - Personal View" guid="{DE3A1FFE-44A0-41BD-98AB-2A2226968564}" mergeInterval="0" personalView="1" maximized="1" windowWidth="1362" windowHeight="543" tabRatio="910" activeSheetId="32"/>
    <customWorkbookView name="my -pc - Personal View" guid="{EE975321-C15E-44A7-AFC6-A307116A4F6E}" mergeInterval="0" personalView="1" maximized="1" xWindow="1" yWindow="1" windowWidth="1366" windowHeight="496" tabRatio="900" activeSheetId="27"/>
  </customWorkbookViews>
</workbook>
</file>

<file path=xl/calcChain.xml><?xml version="1.0" encoding="utf-8"?>
<calcChain xmlns="http://schemas.openxmlformats.org/spreadsheetml/2006/main">
  <c r="D239" i="39" l="1"/>
  <c r="F238" i="39"/>
  <c r="F237" i="39"/>
  <c r="F236" i="39" s="1"/>
  <c r="H236" i="39"/>
  <c r="G236" i="39"/>
  <c r="E236" i="39"/>
  <c r="D236" i="39"/>
  <c r="F234" i="39"/>
  <c r="F233" i="39"/>
  <c r="F232" i="39"/>
  <c r="F231" i="39" s="1"/>
  <c r="H231" i="39"/>
  <c r="G231" i="39"/>
  <c r="E231" i="39"/>
  <c r="F228" i="39"/>
  <c r="D228" i="39"/>
  <c r="F226" i="39"/>
  <c r="D226" i="39"/>
  <c r="F223" i="39"/>
  <c r="F221" i="39" s="1"/>
  <c r="F239" i="39" s="1"/>
  <c r="H221" i="39"/>
  <c r="H239" i="39" s="1"/>
  <c r="G221" i="39"/>
  <c r="G239" i="39" s="1"/>
  <c r="E221" i="39"/>
  <c r="E239" i="39" s="1"/>
  <c r="H218" i="39"/>
  <c r="G218" i="39"/>
  <c r="E218" i="39"/>
  <c r="D218" i="39"/>
  <c r="F217" i="39"/>
  <c r="F215" i="39"/>
  <c r="F214" i="39"/>
  <c r="F213" i="39"/>
  <c r="F212" i="39"/>
  <c r="F211" i="39"/>
  <c r="F210" i="39"/>
  <c r="F208" i="39"/>
  <c r="F207" i="39"/>
  <c r="F206" i="39"/>
  <c r="D206" i="39"/>
  <c r="F205" i="39"/>
  <c r="D205" i="39"/>
  <c r="F204" i="39"/>
  <c r="F203" i="39"/>
  <c r="F202" i="39"/>
  <c r="F201" i="39"/>
  <c r="F200" i="39"/>
  <c r="F199" i="39"/>
  <c r="F198" i="39"/>
  <c r="F197" i="39"/>
  <c r="F196" i="39"/>
  <c r="F195" i="39"/>
  <c r="F194" i="39"/>
  <c r="D194" i="39"/>
  <c r="F193" i="39"/>
  <c r="F192" i="39"/>
  <c r="F218" i="39" s="1"/>
  <c r="H190" i="39"/>
  <c r="G190" i="39"/>
  <c r="E190" i="39"/>
  <c r="D190" i="39"/>
  <c r="F188" i="39"/>
  <c r="F190" i="39" s="1"/>
  <c r="H186" i="39"/>
  <c r="E186" i="39"/>
  <c r="F185" i="39"/>
  <c r="D185" i="39"/>
  <c r="F184" i="39"/>
  <c r="D184" i="39"/>
  <c r="F183" i="39"/>
  <c r="G182" i="39"/>
  <c r="G186" i="39" s="1"/>
  <c r="F182" i="39"/>
  <c r="F181" i="39"/>
  <c r="F180" i="39"/>
  <c r="F179" i="39"/>
  <c r="D179" i="39"/>
  <c r="F178" i="39"/>
  <c r="R177" i="39"/>
  <c r="F177" i="39"/>
  <c r="F176" i="39"/>
  <c r="F175" i="39"/>
  <c r="F174" i="39"/>
  <c r="F173" i="39"/>
  <c r="F172" i="39"/>
  <c r="F171" i="39"/>
  <c r="D171" i="39"/>
  <c r="F170" i="39"/>
  <c r="F169" i="39"/>
  <c r="F168" i="39"/>
  <c r="F167" i="39"/>
  <c r="F166" i="39"/>
  <c r="D166" i="39"/>
  <c r="F165" i="39"/>
  <c r="D165" i="39"/>
  <c r="F164" i="39"/>
  <c r="D164" i="39"/>
  <c r="F163" i="39"/>
  <c r="F162" i="39"/>
  <c r="F161" i="39"/>
  <c r="D161" i="39"/>
  <c r="F160" i="39"/>
  <c r="F159" i="39"/>
  <c r="D159" i="39"/>
  <c r="F158" i="39"/>
  <c r="F157" i="39"/>
  <c r="F156" i="39"/>
  <c r="F155" i="39"/>
  <c r="F154" i="39"/>
  <c r="G153" i="39"/>
  <c r="F153" i="39"/>
  <c r="F152" i="39"/>
  <c r="F151" i="39"/>
  <c r="F150" i="39"/>
  <c r="F149" i="39"/>
  <c r="F148" i="39"/>
  <c r="F147" i="39"/>
  <c r="F146" i="39"/>
  <c r="F145" i="39"/>
  <c r="D145" i="39"/>
  <c r="F144" i="39"/>
  <c r="F143" i="39"/>
  <c r="F142" i="39"/>
  <c r="D142" i="39"/>
  <c r="G141" i="39"/>
  <c r="F141" i="39" s="1"/>
  <c r="F140" i="39"/>
  <c r="F139" i="39"/>
  <c r="F138" i="39"/>
  <c r="F137" i="39"/>
  <c r="F136" i="39"/>
  <c r="F135" i="39"/>
  <c r="D135" i="39"/>
  <c r="F134" i="39"/>
  <c r="F133" i="39"/>
  <c r="D133" i="39"/>
  <c r="F132" i="39"/>
  <c r="F186" i="39" s="1"/>
  <c r="F131" i="39"/>
  <c r="D131" i="39"/>
  <c r="D186" i="39" s="1"/>
  <c r="H129" i="39"/>
  <c r="H240" i="39" s="1"/>
  <c r="E129" i="39"/>
  <c r="E240" i="39" s="1"/>
  <c r="D129" i="39"/>
  <c r="D240" i="39" s="1"/>
  <c r="F128" i="39"/>
  <c r="D128" i="39"/>
  <c r="F127" i="39"/>
  <c r="F125" i="39"/>
  <c r="D125" i="39"/>
  <c r="F124" i="39"/>
  <c r="F123" i="39"/>
  <c r="F122" i="39"/>
  <c r="F121" i="39"/>
  <c r="F120" i="39"/>
  <c r="F119" i="39"/>
  <c r="F118" i="39"/>
  <c r="F117" i="39"/>
  <c r="D117" i="39"/>
  <c r="G116" i="39"/>
  <c r="G129" i="39" s="1"/>
  <c r="F116" i="39"/>
  <c r="F115" i="39"/>
  <c r="F114" i="39"/>
  <c r="D114" i="39"/>
  <c r="F113" i="39"/>
  <c r="D113" i="39"/>
  <c r="F112" i="39"/>
  <c r="F111" i="39"/>
  <c r="F110" i="39"/>
  <c r="F109" i="39"/>
  <c r="F108" i="39"/>
  <c r="F107" i="39"/>
  <c r="F129" i="39" s="1"/>
  <c r="F240" i="39" s="1"/>
  <c r="H103" i="39"/>
  <c r="G103" i="39"/>
  <c r="D103" i="39"/>
  <c r="D100" i="39"/>
  <c r="H98" i="39"/>
  <c r="G98" i="39"/>
  <c r="D98" i="39"/>
  <c r="H94" i="39"/>
  <c r="H100" i="39" s="1"/>
  <c r="G94" i="39"/>
  <c r="G100" i="39" s="1"/>
  <c r="F94" i="39"/>
  <c r="F100" i="39" s="1"/>
  <c r="E94" i="39"/>
  <c r="E100" i="39" s="1"/>
  <c r="D94" i="39"/>
  <c r="H86" i="39"/>
  <c r="G86" i="39"/>
  <c r="F86" i="39"/>
  <c r="F81" i="39" s="1"/>
  <c r="E86" i="39"/>
  <c r="E81" i="39" s="1"/>
  <c r="D86" i="39"/>
  <c r="H84" i="39"/>
  <c r="G84" i="39"/>
  <c r="G81" i="39" s="1"/>
  <c r="D84" i="39"/>
  <c r="H82" i="39"/>
  <c r="H81" i="39" s="1"/>
  <c r="G82" i="39"/>
  <c r="D82" i="39"/>
  <c r="D81" i="39"/>
  <c r="H78" i="39"/>
  <c r="G78" i="39"/>
  <c r="F78" i="39"/>
  <c r="E78" i="39"/>
  <c r="D78" i="39"/>
  <c r="H72" i="39"/>
  <c r="G72" i="39"/>
  <c r="F72" i="39"/>
  <c r="F51" i="39" s="1"/>
  <c r="E72" i="39"/>
  <c r="D72" i="39"/>
  <c r="H64" i="39"/>
  <c r="G64" i="39"/>
  <c r="F64" i="39"/>
  <c r="E64" i="39"/>
  <c r="D64" i="39"/>
  <c r="H52" i="39"/>
  <c r="H51" i="39" s="1"/>
  <c r="G52" i="39"/>
  <c r="F52" i="39"/>
  <c r="E52" i="39"/>
  <c r="D52" i="39"/>
  <c r="D51" i="39"/>
  <c r="H46" i="39"/>
  <c r="G46" i="39"/>
  <c r="D46" i="39"/>
  <c r="H44" i="39"/>
  <c r="G44" i="39"/>
  <c r="D44" i="39"/>
  <c r="H43" i="39"/>
  <c r="G43" i="39"/>
  <c r="F43" i="39"/>
  <c r="E43" i="39"/>
  <c r="D43" i="39"/>
  <c r="D88" i="39" s="1"/>
  <c r="D41" i="39"/>
  <c r="H37" i="39"/>
  <c r="G37" i="39"/>
  <c r="F37" i="39"/>
  <c r="E37" i="39"/>
  <c r="D37" i="39"/>
  <c r="H30" i="39"/>
  <c r="G30" i="39"/>
  <c r="G27" i="39" s="1"/>
  <c r="F30" i="39"/>
  <c r="F27" i="39" s="1"/>
  <c r="E30" i="39"/>
  <c r="D30" i="39"/>
  <c r="H27" i="39"/>
  <c r="E27" i="39"/>
  <c r="D27" i="39"/>
  <c r="H20" i="39"/>
  <c r="H41" i="39" s="1"/>
  <c r="G20" i="39"/>
  <c r="F20" i="39"/>
  <c r="E20" i="39"/>
  <c r="D20" i="39"/>
  <c r="H16" i="39"/>
  <c r="G16" i="39"/>
  <c r="F16" i="39"/>
  <c r="F41" i="39" s="1"/>
  <c r="F89" i="39" s="1"/>
  <c r="F104" i="39" s="1"/>
  <c r="E16" i="39"/>
  <c r="E41" i="39" s="1"/>
  <c r="E89" i="39" s="1"/>
  <c r="E104" i="39" s="1"/>
  <c r="D16" i="39"/>
  <c r="F12" i="39"/>
  <c r="H88" i="39" l="1"/>
  <c r="H89" i="39"/>
  <c r="H104" i="39" s="1"/>
  <c r="G41" i="39"/>
  <c r="G88" i="39"/>
  <c r="G240" i="39"/>
  <c r="D89" i="39"/>
  <c r="D104" i="39" s="1"/>
  <c r="G51" i="39"/>
  <c r="E51" i="39"/>
  <c r="G89" i="39" l="1"/>
  <c r="G104" i="39" s="1"/>
  <c r="R84" i="38" l="1"/>
  <c r="P84" i="38"/>
  <c r="L84" i="38"/>
  <c r="J84" i="38"/>
  <c r="J86" i="38" s="1"/>
  <c r="N83" i="38"/>
  <c r="N82" i="38"/>
  <c r="N81" i="38"/>
  <c r="N80" i="38"/>
  <c r="N79" i="38"/>
  <c r="N78" i="38"/>
  <c r="N77" i="38"/>
  <c r="N76" i="38"/>
  <c r="N75" i="38"/>
  <c r="N74" i="38"/>
  <c r="N73" i="38"/>
  <c r="R70" i="38"/>
  <c r="P70" i="38"/>
  <c r="L70" i="38"/>
  <c r="J70" i="38"/>
  <c r="N69" i="38"/>
  <c r="N68" i="38"/>
  <c r="N67" i="38"/>
  <c r="N65" i="38"/>
  <c r="N64" i="38"/>
  <c r="N63" i="38"/>
  <c r="N62" i="38"/>
  <c r="N61" i="38"/>
  <c r="N60" i="38"/>
  <c r="N59" i="38"/>
  <c r="N58" i="38"/>
  <c r="N57" i="38"/>
  <c r="N56" i="38"/>
  <c r="N55" i="38"/>
  <c r="N54" i="38"/>
  <c r="N53" i="38"/>
  <c r="N52" i="38"/>
  <c r="N51" i="38"/>
  <c r="N50" i="38"/>
  <c r="N49" i="38"/>
  <c r="N48" i="38"/>
  <c r="N47" i="38"/>
  <c r="N46" i="38"/>
  <c r="N45" i="38"/>
  <c r="N44" i="38"/>
  <c r="N43" i="38"/>
  <c r="N42" i="38"/>
  <c r="N41" i="38"/>
  <c r="N40" i="38"/>
  <c r="N39" i="38"/>
  <c r="N38" i="38"/>
  <c r="R35" i="38"/>
  <c r="P35" i="38"/>
  <c r="L35" i="38"/>
  <c r="J35" i="38"/>
  <c r="N34" i="38"/>
  <c r="N33" i="38"/>
  <c r="N32" i="38"/>
  <c r="N31" i="38"/>
  <c r="N30" i="38"/>
  <c r="N29" i="38"/>
  <c r="N28" i="38"/>
  <c r="N27" i="38"/>
  <c r="N26" i="38"/>
  <c r="N25" i="38"/>
  <c r="N24" i="38"/>
  <c r="N23" i="38"/>
  <c r="N21" i="38"/>
  <c r="N19" i="38"/>
  <c r="N18" i="38"/>
  <c r="N17" i="38"/>
  <c r="N16" i="38"/>
  <c r="P86" i="38" l="1"/>
  <c r="R86" i="38"/>
  <c r="N70" i="38"/>
  <c r="N84" i="38"/>
  <c r="N35" i="38"/>
  <c r="N86" i="38" s="1"/>
  <c r="L86" i="38"/>
  <c r="P57" i="27" l="1"/>
  <c r="L57" i="27"/>
  <c r="J57" i="27"/>
  <c r="R57" i="27"/>
  <c r="R76" i="36"/>
  <c r="P76" i="36"/>
  <c r="L76" i="36"/>
  <c r="J76" i="36"/>
  <c r="N73" i="36"/>
  <c r="N67" i="36"/>
  <c r="N60" i="36"/>
  <c r="N59" i="36"/>
  <c r="N58" i="36"/>
  <c r="R53" i="36"/>
  <c r="P53" i="36"/>
  <c r="N53" i="36"/>
  <c r="L53" i="36"/>
  <c r="J53" i="36"/>
  <c r="R42" i="36"/>
  <c r="P42" i="36"/>
  <c r="L42" i="36"/>
  <c r="J42" i="36"/>
  <c r="N41" i="36"/>
  <c r="N40" i="36"/>
  <c r="N39" i="36"/>
  <c r="N38" i="36"/>
  <c r="N37" i="36"/>
  <c r="N36" i="36"/>
  <c r="R32" i="36"/>
  <c r="R78" i="36" s="1"/>
  <c r="P32" i="36"/>
  <c r="L32" i="36"/>
  <c r="L78" i="36" s="1"/>
  <c r="J32" i="36"/>
  <c r="J78" i="36" s="1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R148" i="35"/>
  <c r="P148" i="35"/>
  <c r="L148" i="35"/>
  <c r="J148" i="35"/>
  <c r="N133" i="35"/>
  <c r="N132" i="35"/>
  <c r="N131" i="35"/>
  <c r="R122" i="35"/>
  <c r="P122" i="35"/>
  <c r="N122" i="35"/>
  <c r="L122" i="35"/>
  <c r="J122" i="35"/>
  <c r="R111" i="35"/>
  <c r="P111" i="35"/>
  <c r="L111" i="35"/>
  <c r="J111" i="35"/>
  <c r="N110" i="35"/>
  <c r="N109" i="35"/>
  <c r="N108" i="35"/>
  <c r="N107" i="35"/>
  <c r="N106" i="35"/>
  <c r="N105" i="35"/>
  <c r="N104" i="35"/>
  <c r="N103" i="35"/>
  <c r="N102" i="35"/>
  <c r="N101" i="35"/>
  <c r="N100" i="35"/>
  <c r="N99" i="35"/>
  <c r="N98" i="35"/>
  <c r="N97" i="35"/>
  <c r="N96" i="35"/>
  <c r="N95" i="35"/>
  <c r="N94" i="35"/>
  <c r="N93" i="35"/>
  <c r="N92" i="35"/>
  <c r="N91" i="35"/>
  <c r="N90" i="35"/>
  <c r="N89" i="35"/>
  <c r="N88" i="35"/>
  <c r="N87" i="35"/>
  <c r="N86" i="35"/>
  <c r="N85" i="35"/>
  <c r="N84" i="35"/>
  <c r="N83" i="35"/>
  <c r="N82" i="35"/>
  <c r="N81" i="35"/>
  <c r="N80" i="35"/>
  <c r="N79" i="35"/>
  <c r="N78" i="35"/>
  <c r="N77" i="35"/>
  <c r="N76" i="35"/>
  <c r="N75" i="35"/>
  <c r="N74" i="35"/>
  <c r="N73" i="35"/>
  <c r="N72" i="35"/>
  <c r="N71" i="35"/>
  <c r="N70" i="35"/>
  <c r="N69" i="35"/>
  <c r="N68" i="35"/>
  <c r="N67" i="35"/>
  <c r="N66" i="35"/>
  <c r="N65" i="35"/>
  <c r="N64" i="35"/>
  <c r="N63" i="35"/>
  <c r="N62" i="35"/>
  <c r="N61" i="35"/>
  <c r="N60" i="35"/>
  <c r="N59" i="35"/>
  <c r="N58" i="35"/>
  <c r="N57" i="35"/>
  <c r="N56" i="35"/>
  <c r="N55" i="35"/>
  <c r="N54" i="35"/>
  <c r="N53" i="35"/>
  <c r="U52" i="35"/>
  <c r="T52" i="35"/>
  <c r="N52" i="35"/>
  <c r="T51" i="35"/>
  <c r="U51" i="35" s="1"/>
  <c r="N51" i="35"/>
  <c r="N50" i="35"/>
  <c r="N49" i="35"/>
  <c r="N48" i="35"/>
  <c r="N47" i="35"/>
  <c r="N46" i="35"/>
  <c r="N45" i="35"/>
  <c r="N44" i="35"/>
  <c r="N42" i="35"/>
  <c r="R38" i="35"/>
  <c r="P38" i="35"/>
  <c r="P150" i="35" s="1"/>
  <c r="L38" i="35"/>
  <c r="J38" i="35"/>
  <c r="J150" i="35" s="1"/>
  <c r="N36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38" i="35" s="1"/>
  <c r="R150" i="35" l="1"/>
  <c r="N32" i="36"/>
  <c r="N78" i="36" s="1"/>
  <c r="P78" i="36"/>
  <c r="N111" i="35"/>
  <c r="N76" i="36"/>
  <c r="L150" i="35"/>
  <c r="N42" i="36"/>
  <c r="N148" i="35"/>
  <c r="N150" i="35" s="1"/>
  <c r="P25" i="23"/>
  <c r="P52" i="23"/>
  <c r="R49" i="26"/>
  <c r="P49" i="26" l="1"/>
  <c r="L49" i="26"/>
  <c r="J49" i="26"/>
  <c r="N41" i="26"/>
  <c r="N40" i="26"/>
  <c r="N39" i="26"/>
  <c r="T31" i="26"/>
  <c r="N49" i="26" l="1"/>
  <c r="R67" i="4"/>
  <c r="N150" i="23" l="1"/>
  <c r="T151" i="23"/>
  <c r="R34" i="10"/>
  <c r="R33" i="10"/>
  <c r="R32" i="10"/>
  <c r="R31" i="10"/>
  <c r="R30" i="10"/>
  <c r="R29" i="10"/>
  <c r="R20" i="10"/>
  <c r="R17" i="10"/>
  <c r="R15" i="10"/>
  <c r="R146" i="8"/>
  <c r="R112" i="8"/>
  <c r="R109" i="8"/>
  <c r="R61" i="8"/>
  <c r="R55" i="8"/>
  <c r="R39" i="8"/>
  <c r="R35" i="8"/>
  <c r="R34" i="8"/>
  <c r="R33" i="8"/>
  <c r="R32" i="8"/>
  <c r="R31" i="8"/>
  <c r="R30" i="8"/>
  <c r="R29" i="8"/>
  <c r="R20" i="8"/>
  <c r="R17" i="8"/>
  <c r="R15" i="8"/>
  <c r="R151" i="23" l="1"/>
  <c r="R35" i="1" l="1"/>
  <c r="R27" i="32" l="1"/>
  <c r="R119" i="32"/>
  <c r="N99" i="32"/>
  <c r="R42" i="13" l="1"/>
  <c r="P151" i="23"/>
  <c r="T35" i="32" l="1"/>
  <c r="U35" i="32" s="1"/>
  <c r="N35" i="32"/>
  <c r="N36" i="32"/>
  <c r="R114" i="11" l="1"/>
  <c r="N24" i="29" l="1"/>
  <c r="N21" i="29"/>
  <c r="N22" i="28"/>
  <c r="N51" i="19" l="1"/>
  <c r="N134" i="17"/>
  <c r="N135" i="14" l="1"/>
  <c r="N136" i="12" l="1"/>
  <c r="N142" i="23" l="1"/>
  <c r="J38" i="23"/>
  <c r="N22" i="30" l="1"/>
  <c r="N30" i="29" l="1"/>
  <c r="N20" i="27"/>
  <c r="N19" i="27"/>
  <c r="N27" i="27"/>
  <c r="P35" i="1" l="1"/>
  <c r="N26" i="32" l="1"/>
  <c r="N19" i="32"/>
  <c r="N86" i="32"/>
  <c r="N89" i="32"/>
  <c r="N108" i="32"/>
  <c r="N100" i="32"/>
  <c r="N39" i="24" l="1"/>
  <c r="N38" i="24"/>
  <c r="L151" i="23" l="1"/>
  <c r="J151" i="23"/>
  <c r="N113" i="19"/>
  <c r="N102" i="19"/>
  <c r="N66" i="19"/>
  <c r="N72" i="17"/>
  <c r="P42" i="15"/>
  <c r="P145" i="13" l="1"/>
  <c r="N128" i="13"/>
  <c r="N125" i="13"/>
  <c r="N75" i="6"/>
  <c r="N74" i="6"/>
  <c r="N71" i="6"/>
  <c r="N134" i="5"/>
  <c r="N110" i="5"/>
  <c r="N40" i="5"/>
  <c r="N64" i="1"/>
  <c r="N24" i="1"/>
  <c r="J84" i="1"/>
  <c r="N88" i="7" l="1"/>
  <c r="N39" i="18"/>
  <c r="N39" i="17"/>
  <c r="N82" i="11"/>
  <c r="N23" i="30"/>
  <c r="N21" i="30"/>
  <c r="N20" i="30"/>
  <c r="N149" i="22"/>
  <c r="N148" i="22"/>
  <c r="N147" i="22"/>
  <c r="N117" i="16"/>
  <c r="N16" i="5"/>
  <c r="N17" i="5"/>
  <c r="N18" i="5"/>
  <c r="N19" i="5"/>
  <c r="N20" i="5"/>
  <c r="N21" i="5"/>
  <c r="N22" i="5"/>
  <c r="N23" i="5"/>
  <c r="N24" i="5"/>
  <c r="N25" i="5"/>
  <c r="N26" i="5"/>
  <c r="N28" i="5"/>
  <c r="N29" i="5"/>
  <c r="N30" i="5"/>
  <c r="N31" i="5"/>
  <c r="N32" i="5"/>
  <c r="N33" i="5"/>
  <c r="N34" i="5"/>
  <c r="N35" i="5"/>
  <c r="N36" i="5"/>
  <c r="N37" i="5"/>
  <c r="N38" i="5"/>
  <c r="N39" i="5"/>
  <c r="N45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1" i="5"/>
  <c r="N112" i="5"/>
  <c r="P84" i="1" l="1"/>
  <c r="L70" i="1"/>
  <c r="N28" i="27" l="1"/>
  <c r="T32" i="27" l="1"/>
  <c r="R62" i="4" l="1"/>
  <c r="R69" i="3"/>
  <c r="R34" i="3"/>
  <c r="R83" i="4"/>
  <c r="P83" i="4"/>
  <c r="L83" i="4"/>
  <c r="J83" i="4"/>
  <c r="N83" i="4"/>
  <c r="P69" i="4"/>
  <c r="L69" i="4"/>
  <c r="J69" i="4"/>
  <c r="N69" i="4"/>
  <c r="P34" i="4"/>
  <c r="L34" i="4"/>
  <c r="J34" i="4"/>
  <c r="R34" i="4"/>
  <c r="N34" i="4"/>
  <c r="R83" i="3"/>
  <c r="P83" i="3"/>
  <c r="L83" i="3"/>
  <c r="J83" i="3"/>
  <c r="N83" i="3"/>
  <c r="P69" i="3"/>
  <c r="L69" i="3"/>
  <c r="J69" i="3"/>
  <c r="N69" i="3"/>
  <c r="P34" i="3"/>
  <c r="L34" i="3"/>
  <c r="J34" i="3"/>
  <c r="N34" i="3"/>
  <c r="R83" i="2"/>
  <c r="P83" i="2"/>
  <c r="L83" i="2"/>
  <c r="J83" i="2"/>
  <c r="N82" i="2"/>
  <c r="N81" i="2"/>
  <c r="N80" i="2"/>
  <c r="N79" i="2"/>
  <c r="N78" i="2"/>
  <c r="N77" i="2"/>
  <c r="N76" i="2"/>
  <c r="N75" i="2"/>
  <c r="N74" i="2"/>
  <c r="N73" i="2"/>
  <c r="N72" i="2"/>
  <c r="P69" i="2"/>
  <c r="L69" i="2"/>
  <c r="J69" i="2"/>
  <c r="N68" i="2"/>
  <c r="N67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R34" i="2"/>
  <c r="P34" i="2"/>
  <c r="L34" i="2"/>
  <c r="J34" i="2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R69" i="2" l="1"/>
  <c r="R85" i="2" s="1"/>
  <c r="L85" i="2"/>
  <c r="P85" i="2"/>
  <c r="N83" i="2"/>
  <c r="J85" i="4"/>
  <c r="P85" i="3"/>
  <c r="J85" i="2"/>
  <c r="N34" i="2"/>
  <c r="N69" i="2"/>
  <c r="P85" i="4"/>
  <c r="R69" i="4"/>
  <c r="R85" i="4" s="1"/>
  <c r="L85" i="4"/>
  <c r="N85" i="4"/>
  <c r="L85" i="3"/>
  <c r="J85" i="3"/>
  <c r="N85" i="3"/>
  <c r="R85" i="3"/>
  <c r="N85" i="2" l="1"/>
  <c r="R149" i="8" l="1"/>
  <c r="P149" i="8"/>
  <c r="L149" i="8"/>
  <c r="J149" i="8"/>
  <c r="N146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R124" i="8"/>
  <c r="P124" i="8"/>
  <c r="N124" i="8"/>
  <c r="L124" i="8"/>
  <c r="J124" i="8"/>
  <c r="R113" i="8"/>
  <c r="P113" i="8"/>
  <c r="L113" i="8"/>
  <c r="J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U63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7" i="8"/>
  <c r="N46" i="8"/>
  <c r="N45" i="8"/>
  <c r="N44" i="8"/>
  <c r="R41" i="8"/>
  <c r="P41" i="8"/>
  <c r="L41" i="8"/>
  <c r="J41" i="8"/>
  <c r="N39" i="8"/>
  <c r="N38" i="8"/>
  <c r="N37" i="8"/>
  <c r="N36" i="8"/>
  <c r="N35" i="8"/>
  <c r="N34" i="8"/>
  <c r="N33" i="8"/>
  <c r="U32" i="8"/>
  <c r="N32" i="8"/>
  <c r="N31" i="8"/>
  <c r="N30" i="8"/>
  <c r="N29" i="8"/>
  <c r="N28" i="8"/>
  <c r="N27" i="8"/>
  <c r="N26" i="8"/>
  <c r="N25" i="8"/>
  <c r="N24" i="8"/>
  <c r="N23" i="8"/>
  <c r="N20" i="8"/>
  <c r="N19" i="8"/>
  <c r="N18" i="8"/>
  <c r="N17" i="8"/>
  <c r="N16" i="8"/>
  <c r="U15" i="8"/>
  <c r="N15" i="8"/>
  <c r="R113" i="9"/>
  <c r="P151" i="8" l="1"/>
  <c r="N113" i="8"/>
  <c r="N41" i="8"/>
  <c r="J151" i="8"/>
  <c r="L151" i="8"/>
  <c r="N149" i="8"/>
  <c r="R151" i="8"/>
  <c r="N151" i="8" l="1"/>
  <c r="R39" i="10"/>
  <c r="R113" i="10"/>
  <c r="R35" i="10"/>
  <c r="R41" i="10" l="1"/>
  <c r="R150" i="10"/>
  <c r="P150" i="10"/>
  <c r="N150" i="10"/>
  <c r="L150" i="10"/>
  <c r="J150" i="10"/>
  <c r="R124" i="10"/>
  <c r="P124" i="10"/>
  <c r="N124" i="10"/>
  <c r="L124" i="10"/>
  <c r="J124" i="10"/>
  <c r="P113" i="10"/>
  <c r="N113" i="10"/>
  <c r="L113" i="10"/>
  <c r="J113" i="10"/>
  <c r="U63" i="10"/>
  <c r="P41" i="10"/>
  <c r="N41" i="10"/>
  <c r="L41" i="10"/>
  <c r="J41" i="10"/>
  <c r="U32" i="10"/>
  <c r="U15" i="10"/>
  <c r="N31" i="29"/>
  <c r="N29" i="29"/>
  <c r="N28" i="29"/>
  <c r="R152" i="10" l="1"/>
  <c r="L152" i="10"/>
  <c r="N152" i="10"/>
  <c r="P152" i="10"/>
  <c r="J152" i="10"/>
  <c r="P46" i="28" l="1"/>
  <c r="L46" i="28"/>
  <c r="J46" i="28"/>
  <c r="N47" i="27"/>
  <c r="N36" i="27"/>
  <c r="R149" i="9" l="1"/>
  <c r="P149" i="9"/>
  <c r="L149" i="9"/>
  <c r="J149" i="9"/>
  <c r="N149" i="9"/>
  <c r="R124" i="9"/>
  <c r="P124" i="9"/>
  <c r="N124" i="9"/>
  <c r="L124" i="9"/>
  <c r="J124" i="9"/>
  <c r="P113" i="9"/>
  <c r="L113" i="9"/>
  <c r="J113" i="9"/>
  <c r="U63" i="9"/>
  <c r="N113" i="9"/>
  <c r="R41" i="9"/>
  <c r="T41" i="7" s="1"/>
  <c r="P41" i="9"/>
  <c r="L41" i="9"/>
  <c r="J41" i="9"/>
  <c r="U32" i="9"/>
  <c r="N41" i="9"/>
  <c r="U15" i="9"/>
  <c r="J151" i="9" l="1"/>
  <c r="P151" i="9"/>
  <c r="R151" i="9"/>
  <c r="L151" i="9"/>
  <c r="N151" i="9"/>
  <c r="R149" i="7" l="1"/>
  <c r="R149" i="17" l="1"/>
  <c r="R145" i="13"/>
  <c r="N116" i="32" l="1"/>
  <c r="R91" i="32" l="1"/>
  <c r="R121" i="32" s="1"/>
  <c r="L91" i="32" l="1"/>
  <c r="L119" i="32"/>
  <c r="J119" i="32"/>
  <c r="J91" i="32" l="1"/>
  <c r="J132" i="16" l="1"/>
  <c r="P121" i="16"/>
  <c r="N121" i="16"/>
  <c r="L121" i="16"/>
  <c r="J121" i="16"/>
  <c r="R121" i="16"/>
  <c r="N39" i="28" l="1"/>
  <c r="N37" i="28"/>
  <c r="N36" i="28"/>
  <c r="N35" i="28"/>
  <c r="N31" i="28"/>
  <c r="N30" i="28"/>
  <c r="N24" i="28"/>
  <c r="N23" i="28"/>
  <c r="N19" i="28"/>
  <c r="N43" i="27"/>
  <c r="N42" i="27"/>
  <c r="N41" i="27"/>
  <c r="N32" i="27"/>
  <c r="N31" i="27"/>
  <c r="N29" i="27"/>
  <c r="N26" i="27"/>
  <c r="N22" i="27"/>
  <c r="N21" i="27"/>
  <c r="N105" i="25"/>
  <c r="N104" i="25"/>
  <c r="N103" i="25"/>
  <c r="N102" i="25"/>
  <c r="N101" i="25"/>
  <c r="N100" i="25"/>
  <c r="N99" i="25"/>
  <c r="N98" i="25"/>
  <c r="N97" i="25"/>
  <c r="N96" i="25"/>
  <c r="N95" i="25"/>
  <c r="N94" i="25"/>
  <c r="N93" i="25"/>
  <c r="N114" i="24"/>
  <c r="N63" i="20"/>
  <c r="N71" i="19"/>
  <c r="N70" i="19"/>
  <c r="N69" i="19"/>
  <c r="N68" i="19"/>
  <c r="N67" i="19"/>
  <c r="N65" i="19"/>
  <c r="N64" i="19"/>
  <c r="N112" i="17"/>
  <c r="N39" i="14"/>
  <c r="N134" i="12"/>
  <c r="N131" i="7"/>
  <c r="N130" i="7"/>
  <c r="N129" i="7"/>
  <c r="N69" i="7"/>
  <c r="N61" i="7"/>
  <c r="N145" i="23"/>
  <c r="N144" i="23"/>
  <c r="N143" i="23"/>
  <c r="N141" i="23"/>
  <c r="N140" i="23"/>
  <c r="N139" i="23"/>
  <c r="N137" i="23"/>
  <c r="N136" i="23"/>
  <c r="N135" i="23"/>
  <c r="N134" i="23"/>
  <c r="N133" i="23"/>
  <c r="N132" i="23"/>
  <c r="N131" i="23"/>
  <c r="N141" i="13" l="1"/>
  <c r="N50" i="13"/>
  <c r="R25" i="30" l="1"/>
  <c r="P25" i="30"/>
  <c r="L25" i="30"/>
  <c r="J25" i="30"/>
  <c r="N25" i="30"/>
  <c r="R33" i="29"/>
  <c r="P33" i="29"/>
  <c r="L33" i="29"/>
  <c r="J33" i="29"/>
  <c r="N23" i="29"/>
  <c r="N22" i="29"/>
  <c r="N20" i="29"/>
  <c r="N25" i="27"/>
  <c r="N57" i="27" s="1"/>
  <c r="N33" i="29" l="1"/>
  <c r="R46" i="28" l="1"/>
  <c r="O121" i="32" l="1"/>
  <c r="M121" i="32"/>
  <c r="J121" i="32" l="1"/>
  <c r="N23" i="1"/>
  <c r="P91" i="32" l="1"/>
  <c r="N66" i="23"/>
  <c r="P119" i="32" l="1"/>
  <c r="N90" i="32"/>
  <c r="N133" i="11"/>
  <c r="N82" i="23" l="1"/>
  <c r="N40" i="11" l="1"/>
  <c r="N98" i="32"/>
  <c r="N118" i="32"/>
  <c r="N117" i="32"/>
  <c r="N114" i="32"/>
  <c r="N113" i="32"/>
  <c r="P121" i="32"/>
  <c r="L121" i="32"/>
  <c r="N87" i="32"/>
  <c r="N85" i="32"/>
  <c r="N84" i="32"/>
  <c r="N83" i="32"/>
  <c r="N82" i="32"/>
  <c r="N81" i="32"/>
  <c r="N80" i="32"/>
  <c r="N79" i="32"/>
  <c r="N78" i="32"/>
  <c r="N77" i="32"/>
  <c r="N76" i="32"/>
  <c r="N75" i="32"/>
  <c r="N74" i="32"/>
  <c r="N73" i="32"/>
  <c r="N72" i="32"/>
  <c r="N71" i="32"/>
  <c r="N70" i="32"/>
  <c r="N69" i="32"/>
  <c r="N68" i="32"/>
  <c r="N65" i="32"/>
  <c r="N64" i="32"/>
  <c r="N63" i="32"/>
  <c r="N62" i="32"/>
  <c r="N61" i="32"/>
  <c r="N60" i="32"/>
  <c r="N59" i="32"/>
  <c r="N58" i="32"/>
  <c r="N57" i="32"/>
  <c r="N56" i="32"/>
  <c r="N55" i="32"/>
  <c r="N54" i="32"/>
  <c r="N53" i="32"/>
  <c r="N52" i="32"/>
  <c r="N51" i="32"/>
  <c r="N50" i="32"/>
  <c r="N49" i="32"/>
  <c r="N48" i="32"/>
  <c r="N47" i="32"/>
  <c r="N46" i="32"/>
  <c r="N45" i="32"/>
  <c r="N44" i="32"/>
  <c r="N43" i="32"/>
  <c r="N42" i="32"/>
  <c r="N41" i="32"/>
  <c r="N40" i="32"/>
  <c r="N39" i="32"/>
  <c r="N38" i="32"/>
  <c r="N37" i="32"/>
  <c r="N34" i="32"/>
  <c r="N33" i="32"/>
  <c r="N32" i="32"/>
  <c r="N31" i="32"/>
  <c r="N30" i="32"/>
  <c r="N29" i="32"/>
  <c r="N28" i="32"/>
  <c r="N27" i="32"/>
  <c r="N25" i="32"/>
  <c r="N24" i="32"/>
  <c r="N23" i="32"/>
  <c r="N22" i="32"/>
  <c r="N21" i="32"/>
  <c r="N20" i="32"/>
  <c r="N16" i="32"/>
  <c r="N91" i="32" l="1"/>
  <c r="N119" i="32"/>
  <c r="R84" i="1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0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6" i="14"/>
  <c r="N121" i="32" l="1"/>
  <c r="J43" i="21"/>
  <c r="N69" i="24" l="1"/>
  <c r="P84" i="24"/>
  <c r="P120" i="24"/>
  <c r="N32" i="25" l="1"/>
  <c r="N29" i="16" l="1"/>
  <c r="N39" i="16"/>
  <c r="R152" i="19" l="1"/>
  <c r="P152" i="19"/>
  <c r="N152" i="19"/>
  <c r="L152" i="19"/>
  <c r="J152" i="19"/>
  <c r="R127" i="19"/>
  <c r="P127" i="19"/>
  <c r="N127" i="19"/>
  <c r="L127" i="19"/>
  <c r="J127" i="19"/>
  <c r="R116" i="19"/>
  <c r="P116" i="19"/>
  <c r="L116" i="19"/>
  <c r="J116" i="19"/>
  <c r="N115" i="19"/>
  <c r="N114" i="19"/>
  <c r="N112" i="19"/>
  <c r="N111" i="19"/>
  <c r="N110" i="19"/>
  <c r="N109" i="19"/>
  <c r="N108" i="19"/>
  <c r="N107" i="19"/>
  <c r="N105" i="19"/>
  <c r="N104" i="19"/>
  <c r="N103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3" i="19"/>
  <c r="N72" i="19"/>
  <c r="N63" i="19"/>
  <c r="N62" i="19"/>
  <c r="N61" i="19"/>
  <c r="N60" i="19"/>
  <c r="N59" i="19"/>
  <c r="N58" i="19"/>
  <c r="N54" i="19"/>
  <c r="N53" i="19"/>
  <c r="N52" i="19"/>
  <c r="N50" i="19"/>
  <c r="N49" i="19"/>
  <c r="N48" i="19"/>
  <c r="N47" i="19"/>
  <c r="R43" i="19"/>
  <c r="P43" i="19"/>
  <c r="L43" i="19"/>
  <c r="J43" i="19"/>
  <c r="N41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2" i="19"/>
  <c r="N21" i="19"/>
  <c r="N20" i="19"/>
  <c r="N19" i="19"/>
  <c r="N17" i="19"/>
  <c r="R154" i="19" l="1"/>
  <c r="J154" i="19"/>
  <c r="N116" i="19"/>
  <c r="P154" i="19"/>
  <c r="L154" i="19"/>
  <c r="N43" i="19"/>
  <c r="N154" i="19" l="1"/>
  <c r="N146" i="7" l="1"/>
  <c r="N131" i="15"/>
  <c r="N130" i="15"/>
  <c r="N81" i="1" l="1"/>
  <c r="N80" i="1"/>
  <c r="N21" i="13"/>
  <c r="N68" i="1"/>
  <c r="N81" i="25"/>
  <c r="N114" i="22"/>
  <c r="N149" i="16"/>
  <c r="N111" i="16"/>
  <c r="N32" i="16"/>
  <c r="N109" i="15"/>
  <c r="N80" i="13"/>
  <c r="N79" i="13"/>
  <c r="N78" i="13"/>
  <c r="N77" i="13"/>
  <c r="N76" i="13"/>
  <c r="N75" i="13"/>
  <c r="N74" i="13"/>
  <c r="N73" i="13"/>
  <c r="N72" i="13"/>
  <c r="N109" i="7"/>
  <c r="N108" i="7"/>
  <c r="N80" i="6"/>
  <c r="T51" i="23" l="1"/>
  <c r="U51" i="23" s="1"/>
  <c r="T52" i="23"/>
  <c r="U52" i="23" s="1"/>
  <c r="R145" i="15" l="1"/>
  <c r="N31" i="21" l="1"/>
  <c r="N44" i="28" l="1"/>
  <c r="N43" i="28"/>
  <c r="N26" i="28"/>
  <c r="N25" i="28"/>
  <c r="N17" i="28"/>
  <c r="N17" i="33"/>
  <c r="J35" i="1"/>
  <c r="J70" i="1"/>
  <c r="N16" i="1"/>
  <c r="N83" i="1"/>
  <c r="N82" i="1"/>
  <c r="N79" i="1"/>
  <c r="N78" i="1"/>
  <c r="N77" i="1"/>
  <c r="N76" i="1"/>
  <c r="N75" i="1"/>
  <c r="N74" i="1"/>
  <c r="N73" i="1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69" i="1"/>
  <c r="N54" i="1"/>
  <c r="N53" i="1"/>
  <c r="N61" i="1"/>
  <c r="N60" i="1"/>
  <c r="N59" i="1"/>
  <c r="N58" i="1"/>
  <c r="N57" i="1"/>
  <c r="N56" i="1"/>
  <c r="N55" i="1"/>
  <c r="N52" i="1"/>
  <c r="N67" i="1"/>
  <c r="N65" i="1"/>
  <c r="N63" i="1"/>
  <c r="N62" i="1"/>
  <c r="N51" i="1"/>
  <c r="N50" i="1"/>
  <c r="N49" i="1"/>
  <c r="N48" i="1"/>
  <c r="N47" i="1"/>
  <c r="N45" i="1"/>
  <c r="N44" i="1"/>
  <c r="N43" i="1"/>
  <c r="N42" i="1"/>
  <c r="N41" i="1"/>
  <c r="N40" i="1"/>
  <c r="N39" i="1"/>
  <c r="N38" i="1"/>
  <c r="P149" i="7"/>
  <c r="N31" i="12"/>
  <c r="N32" i="12"/>
  <c r="T16" i="15"/>
  <c r="N17" i="15"/>
  <c r="T17" i="15"/>
  <c r="N18" i="15"/>
  <c r="T18" i="15"/>
  <c r="N19" i="15"/>
  <c r="T19" i="15"/>
  <c r="N20" i="15"/>
  <c r="T20" i="15"/>
  <c r="N21" i="15"/>
  <c r="T21" i="15"/>
  <c r="T22" i="15"/>
  <c r="T23" i="15"/>
  <c r="N32" i="15"/>
  <c r="N24" i="15"/>
  <c r="T24" i="15"/>
  <c r="N25" i="15"/>
  <c r="T25" i="15"/>
  <c r="N26" i="15"/>
  <c r="T26" i="15"/>
  <c r="N27" i="15"/>
  <c r="T27" i="15"/>
  <c r="N28" i="15"/>
  <c r="T28" i="15"/>
  <c r="N29" i="15"/>
  <c r="T29" i="15"/>
  <c r="N31" i="15"/>
  <c r="T31" i="15"/>
  <c r="N30" i="15"/>
  <c r="T32" i="15"/>
  <c r="N33" i="15"/>
  <c r="T33" i="15"/>
  <c r="N34" i="15"/>
  <c r="T34" i="15"/>
  <c r="N35" i="15"/>
  <c r="T35" i="15"/>
  <c r="N36" i="15"/>
  <c r="T36" i="15"/>
  <c r="T37" i="15"/>
  <c r="T38" i="15"/>
  <c r="N39" i="15"/>
  <c r="T39" i="15"/>
  <c r="N40" i="15"/>
  <c r="T40" i="15"/>
  <c r="J42" i="15"/>
  <c r="L42" i="15"/>
  <c r="R42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10" i="15"/>
  <c r="J111" i="15"/>
  <c r="L111" i="15"/>
  <c r="P111" i="15"/>
  <c r="R111" i="15"/>
  <c r="J122" i="15"/>
  <c r="L122" i="15"/>
  <c r="N122" i="15"/>
  <c r="P122" i="15"/>
  <c r="R122" i="15"/>
  <c r="N145" i="15"/>
  <c r="J145" i="15"/>
  <c r="L145" i="15"/>
  <c r="P145" i="15"/>
  <c r="J42" i="14"/>
  <c r="L42" i="14"/>
  <c r="P42" i="14"/>
  <c r="R42" i="14"/>
  <c r="J113" i="14"/>
  <c r="L113" i="14"/>
  <c r="P113" i="14"/>
  <c r="R113" i="14"/>
  <c r="J124" i="14"/>
  <c r="L124" i="14"/>
  <c r="N124" i="14"/>
  <c r="P124" i="14"/>
  <c r="R124" i="14"/>
  <c r="J148" i="14"/>
  <c r="L148" i="14"/>
  <c r="P148" i="14"/>
  <c r="R148" i="14"/>
  <c r="N84" i="1" l="1"/>
  <c r="N46" i="28"/>
  <c r="N148" i="14"/>
  <c r="J150" i="14"/>
  <c r="R150" i="14"/>
  <c r="L147" i="15"/>
  <c r="L150" i="14"/>
  <c r="N113" i="14"/>
  <c r="P150" i="14"/>
  <c r="N42" i="14"/>
  <c r="J147" i="15"/>
  <c r="N111" i="15"/>
  <c r="R147" i="15"/>
  <c r="N87" i="23"/>
  <c r="N39" i="13"/>
  <c r="N150" i="14" l="1"/>
  <c r="N46" i="1"/>
  <c r="N24" i="23" l="1"/>
  <c r="N23" i="23"/>
  <c r="N32" i="11" l="1"/>
  <c r="N68" i="25" l="1"/>
  <c r="N69" i="25"/>
  <c r="N70" i="25"/>
  <c r="N71" i="25"/>
  <c r="N72" i="25"/>
  <c r="N73" i="25"/>
  <c r="N74" i="25"/>
  <c r="N75" i="25"/>
  <c r="N76" i="25"/>
  <c r="N77" i="25"/>
  <c r="N78" i="25"/>
  <c r="N79" i="25"/>
  <c r="N80" i="25"/>
  <c r="N82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16" i="25"/>
  <c r="N117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8" i="24"/>
  <c r="N67" i="24"/>
  <c r="N66" i="24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16" i="24"/>
  <c r="N138" i="23"/>
  <c r="N151" i="23" s="1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8" i="23"/>
  <c r="N86" i="23"/>
  <c r="N85" i="23"/>
  <c r="N84" i="23"/>
  <c r="N83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8" i="23"/>
  <c r="N47" i="23"/>
  <c r="N46" i="23"/>
  <c r="N45" i="23"/>
  <c r="N44" i="23"/>
  <c r="N43" i="23"/>
  <c r="N42" i="23"/>
  <c r="N35" i="23"/>
  <c r="N28" i="23"/>
  <c r="N26" i="23"/>
  <c r="N29" i="23"/>
  <c r="N22" i="23"/>
  <c r="N21" i="23"/>
  <c r="N20" i="23"/>
  <c r="N19" i="23"/>
  <c r="N18" i="23"/>
  <c r="N145" i="22"/>
  <c r="N144" i="22"/>
  <c r="N143" i="22"/>
  <c r="N142" i="22"/>
  <c r="N141" i="22"/>
  <c r="N140" i="22"/>
  <c r="N138" i="22"/>
  <c r="N137" i="22"/>
  <c r="N136" i="22"/>
  <c r="N115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1" i="22"/>
  <c r="N50" i="22"/>
  <c r="N49" i="22"/>
  <c r="N48" i="22"/>
  <c r="N42" i="22"/>
  <c r="N41" i="22"/>
  <c r="N40" i="22"/>
  <c r="N39" i="22"/>
  <c r="N38" i="22"/>
  <c r="N37" i="22"/>
  <c r="N36" i="22"/>
  <c r="N35" i="22"/>
  <c r="N32" i="22"/>
  <c r="N33" i="22"/>
  <c r="N31" i="22"/>
  <c r="N30" i="22"/>
  <c r="N29" i="22"/>
  <c r="N28" i="22"/>
  <c r="N27" i="22"/>
  <c r="N26" i="22"/>
  <c r="N34" i="22"/>
  <c r="N22" i="22"/>
  <c r="N21" i="22"/>
  <c r="N20" i="22"/>
  <c r="N19" i="22"/>
  <c r="N18" i="22"/>
  <c r="N17" i="22"/>
  <c r="N112" i="21"/>
  <c r="N111" i="21"/>
  <c r="N110" i="21"/>
  <c r="N109" i="21"/>
  <c r="N108" i="21"/>
  <c r="N107" i="21"/>
  <c r="N106" i="21"/>
  <c r="N105" i="21"/>
  <c r="N104" i="21"/>
  <c r="N103" i="21"/>
  <c r="N102" i="21"/>
  <c r="N101" i="21"/>
  <c r="N100" i="21"/>
  <c r="N99" i="21"/>
  <c r="N98" i="21"/>
  <c r="N97" i="21"/>
  <c r="N96" i="21"/>
  <c r="N95" i="21"/>
  <c r="N94" i="21"/>
  <c r="N93" i="21"/>
  <c r="N92" i="21"/>
  <c r="N91" i="21"/>
  <c r="N90" i="21"/>
  <c r="N89" i="21"/>
  <c r="N88" i="21"/>
  <c r="N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1" i="21"/>
  <c r="N40" i="21"/>
  <c r="N39" i="21"/>
  <c r="N38" i="21"/>
  <c r="N37" i="21"/>
  <c r="N36" i="21"/>
  <c r="N35" i="21"/>
  <c r="N34" i="21"/>
  <c r="N32" i="21"/>
  <c r="N30" i="21"/>
  <c r="N29" i="21"/>
  <c r="N28" i="21"/>
  <c r="N27" i="21"/>
  <c r="N26" i="21"/>
  <c r="N25" i="21"/>
  <c r="N33" i="21"/>
  <c r="N22" i="21"/>
  <c r="N21" i="21"/>
  <c r="N20" i="21"/>
  <c r="N19" i="21"/>
  <c r="N17" i="21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1" i="20"/>
  <c r="N40" i="20"/>
  <c r="N38" i="20"/>
  <c r="N37" i="20"/>
  <c r="N36" i="20"/>
  <c r="N35" i="20"/>
  <c r="N34" i="20"/>
  <c r="N31" i="20"/>
  <c r="N32" i="20"/>
  <c r="N30" i="20"/>
  <c r="N29" i="20"/>
  <c r="N28" i="20"/>
  <c r="N27" i="20"/>
  <c r="N26" i="20"/>
  <c r="N25" i="20"/>
  <c r="N33" i="20"/>
  <c r="N22" i="20"/>
  <c r="N21" i="20"/>
  <c r="N20" i="20"/>
  <c r="N19" i="20"/>
  <c r="N18" i="20"/>
  <c r="N17" i="20"/>
  <c r="N121" i="18"/>
  <c r="P113" i="18"/>
  <c r="L113" i="18"/>
  <c r="P42" i="18"/>
  <c r="L42" i="18"/>
  <c r="N135" i="18" l="1"/>
  <c r="N133" i="18"/>
  <c r="N132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8" i="18"/>
  <c r="N47" i="18"/>
  <c r="N46" i="18"/>
  <c r="N45" i="18"/>
  <c r="N40" i="18"/>
  <c r="N36" i="18"/>
  <c r="N35" i="18"/>
  <c r="N34" i="18"/>
  <c r="N33" i="18"/>
  <c r="N30" i="18"/>
  <c r="N31" i="18"/>
  <c r="N29" i="18"/>
  <c r="N28" i="18"/>
  <c r="N27" i="18"/>
  <c r="N26" i="18"/>
  <c r="N25" i="18"/>
  <c r="N24" i="18"/>
  <c r="N32" i="18"/>
  <c r="N21" i="18"/>
  <c r="N20" i="18"/>
  <c r="N19" i="18"/>
  <c r="N18" i="18"/>
  <c r="N17" i="18"/>
  <c r="N16" i="18"/>
  <c r="N135" i="17"/>
  <c r="N133" i="17"/>
  <c r="N113" i="17"/>
  <c r="N111" i="17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1" i="17"/>
  <c r="N70" i="17"/>
  <c r="N69" i="17"/>
  <c r="N68" i="17"/>
  <c r="N67" i="17"/>
  <c r="N66" i="17"/>
  <c r="N65" i="17"/>
  <c r="N64" i="17"/>
  <c r="N63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8" i="17"/>
  <c r="N47" i="17"/>
  <c r="N46" i="17"/>
  <c r="N45" i="17"/>
  <c r="N40" i="17"/>
  <c r="N36" i="17"/>
  <c r="N35" i="17"/>
  <c r="N34" i="17"/>
  <c r="N33" i="17"/>
  <c r="N30" i="17"/>
  <c r="N31" i="17"/>
  <c r="N29" i="17"/>
  <c r="N28" i="17"/>
  <c r="N27" i="17"/>
  <c r="N26" i="17"/>
  <c r="N25" i="17"/>
  <c r="N24" i="17"/>
  <c r="N32" i="17"/>
  <c r="N21" i="17"/>
  <c r="N20" i="17"/>
  <c r="N19" i="17"/>
  <c r="N18" i="17"/>
  <c r="N17" i="17"/>
  <c r="N16" i="17"/>
  <c r="N150" i="16"/>
  <c r="N148" i="16"/>
  <c r="N147" i="16"/>
  <c r="N146" i="16"/>
  <c r="N145" i="16"/>
  <c r="N144" i="16"/>
  <c r="N143" i="16"/>
  <c r="N142" i="16"/>
  <c r="N141" i="16"/>
  <c r="N140" i="16"/>
  <c r="N139" i="16"/>
  <c r="N138" i="16"/>
  <c r="N126" i="16"/>
  <c r="N125" i="16"/>
  <c r="N124" i="16"/>
  <c r="N112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8" i="16"/>
  <c r="N47" i="16"/>
  <c r="N46" i="16"/>
  <c r="N45" i="16"/>
  <c r="N40" i="16"/>
  <c r="N36" i="16"/>
  <c r="N35" i="16"/>
  <c r="N34" i="16"/>
  <c r="N33" i="16"/>
  <c r="N30" i="16"/>
  <c r="N31" i="16"/>
  <c r="N28" i="16"/>
  <c r="N27" i="16"/>
  <c r="N26" i="16"/>
  <c r="N25" i="16"/>
  <c r="N24" i="16"/>
  <c r="N21" i="16"/>
  <c r="N20" i="16"/>
  <c r="N19" i="16"/>
  <c r="N18" i="16"/>
  <c r="N17" i="16"/>
  <c r="N16" i="16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49" i="13"/>
  <c r="N48" i="13"/>
  <c r="N47" i="13"/>
  <c r="N46" i="13"/>
  <c r="N45" i="13"/>
  <c r="N40" i="13"/>
  <c r="N36" i="13"/>
  <c r="N35" i="13"/>
  <c r="N34" i="13"/>
  <c r="N33" i="13"/>
  <c r="N30" i="13"/>
  <c r="N31" i="13"/>
  <c r="N29" i="13"/>
  <c r="N28" i="13"/>
  <c r="N27" i="13"/>
  <c r="N26" i="13"/>
  <c r="N25" i="13"/>
  <c r="N24" i="13"/>
  <c r="N32" i="13"/>
  <c r="N20" i="13"/>
  <c r="N19" i="13"/>
  <c r="N18" i="13"/>
  <c r="N17" i="13"/>
  <c r="N147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1" i="12"/>
  <c r="N40" i="12"/>
  <c r="N39" i="12"/>
  <c r="N38" i="12"/>
  <c r="N37" i="12"/>
  <c r="N36" i="12"/>
  <c r="N35" i="12"/>
  <c r="N34" i="12"/>
  <c r="N30" i="12"/>
  <c r="N29" i="12"/>
  <c r="N28" i="12"/>
  <c r="N27" i="12"/>
  <c r="N26" i="12"/>
  <c r="N25" i="12"/>
  <c r="N33" i="12"/>
  <c r="N22" i="12"/>
  <c r="N21" i="12"/>
  <c r="N20" i="12"/>
  <c r="N19" i="12"/>
  <c r="N18" i="12"/>
  <c r="N17" i="12"/>
  <c r="N113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1" i="11"/>
  <c r="N39" i="11"/>
  <c r="N38" i="11"/>
  <c r="N37" i="11"/>
  <c r="N36" i="11"/>
  <c r="N35" i="11"/>
  <c r="N34" i="11"/>
  <c r="N31" i="11"/>
  <c r="N30" i="11"/>
  <c r="N29" i="11"/>
  <c r="N28" i="11"/>
  <c r="N27" i="11"/>
  <c r="N26" i="11"/>
  <c r="N25" i="11"/>
  <c r="N33" i="11"/>
  <c r="N22" i="11"/>
  <c r="N21" i="11"/>
  <c r="N20" i="11"/>
  <c r="N19" i="11"/>
  <c r="N18" i="11"/>
  <c r="N17" i="11"/>
  <c r="N144" i="7"/>
  <c r="N143" i="7"/>
  <c r="N142" i="7"/>
  <c r="N141" i="7"/>
  <c r="N140" i="7"/>
  <c r="N139" i="7"/>
  <c r="N138" i="7"/>
  <c r="N137" i="7"/>
  <c r="N112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1" i="7"/>
  <c r="N90" i="7"/>
  <c r="N89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111" i="7"/>
  <c r="N74" i="7"/>
  <c r="N73" i="7"/>
  <c r="N72" i="7"/>
  <c r="N71" i="7"/>
  <c r="N70" i="7"/>
  <c r="N110" i="7"/>
  <c r="N68" i="7"/>
  <c r="N65" i="7"/>
  <c r="N64" i="7"/>
  <c r="N60" i="7"/>
  <c r="N59" i="7"/>
  <c r="N58" i="7"/>
  <c r="N57" i="7"/>
  <c r="N56" i="7"/>
  <c r="N55" i="7"/>
  <c r="N54" i="7"/>
  <c r="N53" i="7"/>
  <c r="N52" i="7"/>
  <c r="N51" i="7"/>
  <c r="N50" i="7"/>
  <c r="N49" i="7"/>
  <c r="N47" i="7"/>
  <c r="N44" i="7"/>
  <c r="N39" i="7"/>
  <c r="N38" i="7"/>
  <c r="N37" i="7"/>
  <c r="N36" i="7"/>
  <c r="N35" i="7"/>
  <c r="N34" i="7"/>
  <c r="N33" i="7"/>
  <c r="N32" i="7"/>
  <c r="N29" i="7"/>
  <c r="N30" i="7"/>
  <c r="N28" i="7"/>
  <c r="N27" i="7"/>
  <c r="N26" i="7"/>
  <c r="N25" i="7"/>
  <c r="N24" i="7"/>
  <c r="N23" i="7"/>
  <c r="N31" i="7"/>
  <c r="N20" i="7"/>
  <c r="N19" i="7"/>
  <c r="N18" i="7"/>
  <c r="N17" i="7"/>
  <c r="N16" i="7"/>
  <c r="N15" i="7"/>
  <c r="N145" i="6"/>
  <c r="N144" i="6"/>
  <c r="N143" i="6"/>
  <c r="N142" i="6"/>
  <c r="N141" i="6"/>
  <c r="N140" i="6"/>
  <c r="N139" i="6"/>
  <c r="N138" i="6"/>
  <c r="N137" i="6"/>
  <c r="N136" i="6"/>
  <c r="N135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73" i="6"/>
  <c r="N98" i="6"/>
  <c r="N72" i="6"/>
  <c r="N70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79" i="6"/>
  <c r="N78" i="6"/>
  <c r="N77" i="6"/>
  <c r="N76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7" i="6"/>
  <c r="N46" i="6"/>
  <c r="N45" i="6"/>
  <c r="N40" i="6"/>
  <c r="N39" i="6"/>
  <c r="N38" i="6"/>
  <c r="N37" i="6"/>
  <c r="N36" i="6"/>
  <c r="N35" i="6"/>
  <c r="N34" i="6"/>
  <c r="N33" i="6"/>
  <c r="N30" i="6"/>
  <c r="N31" i="6"/>
  <c r="N29" i="6"/>
  <c r="N28" i="6"/>
  <c r="N27" i="6"/>
  <c r="N26" i="6"/>
  <c r="N25" i="6"/>
  <c r="N24" i="6"/>
  <c r="N32" i="6"/>
  <c r="N21" i="6"/>
  <c r="N20" i="6"/>
  <c r="N19" i="6"/>
  <c r="N18" i="6"/>
  <c r="N16" i="6"/>
  <c r="N146" i="5"/>
  <c r="N145" i="5"/>
  <c r="N144" i="5"/>
  <c r="N143" i="5"/>
  <c r="N142" i="5"/>
  <c r="N141" i="5"/>
  <c r="N140" i="5"/>
  <c r="N139" i="5"/>
  <c r="N138" i="5"/>
  <c r="N137" i="5"/>
  <c r="N136" i="5"/>
  <c r="N135" i="5"/>
  <c r="N17" i="1"/>
  <c r="N18" i="1"/>
  <c r="N19" i="1"/>
  <c r="N21" i="1"/>
  <c r="N28" i="1"/>
  <c r="N25" i="1"/>
  <c r="N27" i="1"/>
  <c r="N26" i="1"/>
  <c r="N29" i="1"/>
  <c r="N30" i="1"/>
  <c r="N31" i="1"/>
  <c r="N32" i="1"/>
  <c r="N33" i="1"/>
  <c r="N34" i="1"/>
  <c r="N113" i="18" l="1"/>
  <c r="N42" i="18"/>
  <c r="U32" i="7" l="1"/>
  <c r="U15" i="7"/>
  <c r="R41" i="7" l="1"/>
  <c r="R38" i="23"/>
  <c r="U63" i="7" l="1"/>
  <c r="R113" i="7"/>
  <c r="R151" i="7" l="1"/>
  <c r="R152" i="22"/>
  <c r="R116" i="22"/>
  <c r="R114" i="17"/>
  <c r="R112" i="13"/>
  <c r="R120" i="24"/>
  <c r="R148" i="18"/>
  <c r="R113" i="18"/>
  <c r="R132" i="16"/>
  <c r="R113" i="16"/>
  <c r="R149" i="11"/>
  <c r="R148" i="6"/>
  <c r="R113" i="6"/>
  <c r="R150" i="12"/>
  <c r="R113" i="12"/>
  <c r="R113" i="21"/>
  <c r="R113" i="20"/>
  <c r="R149" i="5"/>
  <c r="R113" i="5"/>
  <c r="N49" i="23"/>
  <c r="N36" i="23"/>
  <c r="N33" i="23"/>
  <c r="N32" i="23"/>
  <c r="N31" i="23"/>
  <c r="N30" i="23"/>
  <c r="N27" i="23"/>
  <c r="N25" i="23"/>
  <c r="N17" i="23"/>
  <c r="R44" i="22" l="1"/>
  <c r="P152" i="22"/>
  <c r="P43" i="21"/>
  <c r="P150" i="12"/>
  <c r="P149" i="11"/>
  <c r="P148" i="6"/>
  <c r="N113" i="6"/>
  <c r="P42" i="6"/>
  <c r="P149" i="5"/>
  <c r="N113" i="5"/>
  <c r="N145" i="13"/>
  <c r="L145" i="13"/>
  <c r="J145" i="13"/>
  <c r="N149" i="7"/>
  <c r="N120" i="24"/>
  <c r="L20" i="33"/>
  <c r="N152" i="22"/>
  <c r="N150" i="12"/>
  <c r="N148" i="6" l="1"/>
  <c r="N149" i="5" l="1"/>
  <c r="L112" i="13"/>
  <c r="J112" i="13" l="1"/>
  <c r="J42" i="13"/>
  <c r="R83" i="25"/>
  <c r="P83" i="25"/>
  <c r="N83" i="25"/>
  <c r="L83" i="25"/>
  <c r="J83" i="25"/>
  <c r="J84" i="24"/>
  <c r="R84" i="24"/>
  <c r="R122" i="24" s="1"/>
  <c r="P122" i="24"/>
  <c r="N84" i="24"/>
  <c r="N122" i="24" s="1"/>
  <c r="L84" i="24"/>
  <c r="R111" i="23"/>
  <c r="P111" i="23"/>
  <c r="N111" i="23"/>
  <c r="L111" i="23"/>
  <c r="P116" i="22"/>
  <c r="N116" i="22"/>
  <c r="L116" i="22"/>
  <c r="J116" i="22"/>
  <c r="P113" i="21"/>
  <c r="N113" i="21"/>
  <c r="L113" i="21"/>
  <c r="J113" i="21"/>
  <c r="P113" i="20"/>
  <c r="N113" i="20"/>
  <c r="L113" i="20"/>
  <c r="J113" i="20"/>
  <c r="J113" i="18"/>
  <c r="P114" i="17"/>
  <c r="N114" i="17"/>
  <c r="L114" i="17"/>
  <c r="J114" i="17"/>
  <c r="P113" i="16"/>
  <c r="N113" i="16"/>
  <c r="L113" i="16"/>
  <c r="J113" i="16"/>
  <c r="P112" i="13"/>
  <c r="N112" i="13"/>
  <c r="P113" i="12"/>
  <c r="N113" i="12"/>
  <c r="L113" i="12"/>
  <c r="J113" i="12"/>
  <c r="P114" i="11"/>
  <c r="N114" i="11"/>
  <c r="L114" i="11"/>
  <c r="J114" i="11"/>
  <c r="P113" i="7"/>
  <c r="N113" i="7"/>
  <c r="L113" i="7"/>
  <c r="J113" i="7"/>
  <c r="P113" i="6"/>
  <c r="L113" i="6"/>
  <c r="J113" i="6"/>
  <c r="P113" i="5"/>
  <c r="L113" i="5"/>
  <c r="J113" i="5"/>
  <c r="R70" i="1"/>
  <c r="T72" i="1" s="1"/>
  <c r="P70" i="1"/>
  <c r="N70" i="1"/>
  <c r="J111" i="23"/>
  <c r="R18" i="33"/>
  <c r="R20" i="33" s="1"/>
  <c r="P18" i="33"/>
  <c r="P20" i="33" s="1"/>
  <c r="N18" i="33"/>
  <c r="N20" i="33" s="1"/>
  <c r="J18" i="33"/>
  <c r="J20" i="33" s="1"/>
  <c r="R108" i="25" l="1"/>
  <c r="R110" i="25" s="1"/>
  <c r="P108" i="25"/>
  <c r="P110" i="25" s="1"/>
  <c r="N108" i="25"/>
  <c r="N110" i="25" s="1"/>
  <c r="L108" i="25"/>
  <c r="L110" i="25" s="1"/>
  <c r="J108" i="25"/>
  <c r="J110" i="25" s="1"/>
  <c r="L120" i="24"/>
  <c r="L122" i="24" s="1"/>
  <c r="J120" i="24"/>
  <c r="J122" i="24" s="1"/>
  <c r="R95" i="24"/>
  <c r="P95" i="24"/>
  <c r="N95" i="24"/>
  <c r="L95" i="24"/>
  <c r="J95" i="24"/>
  <c r="R122" i="23"/>
  <c r="R153" i="23" s="1"/>
  <c r="P122" i="23"/>
  <c r="N122" i="23"/>
  <c r="L122" i="23"/>
  <c r="J122" i="23"/>
  <c r="P38" i="23"/>
  <c r="N38" i="23"/>
  <c r="L38" i="23"/>
  <c r="L152" i="22"/>
  <c r="J152" i="22"/>
  <c r="R127" i="22"/>
  <c r="R154" i="22" s="1"/>
  <c r="P127" i="22"/>
  <c r="N127" i="22"/>
  <c r="L127" i="22"/>
  <c r="J127" i="22"/>
  <c r="P44" i="22"/>
  <c r="N44" i="22"/>
  <c r="L44" i="22"/>
  <c r="J44" i="22"/>
  <c r="R148" i="21"/>
  <c r="P148" i="21"/>
  <c r="N148" i="21"/>
  <c r="L148" i="21"/>
  <c r="J148" i="21"/>
  <c r="R124" i="21"/>
  <c r="P124" i="21"/>
  <c r="N124" i="21"/>
  <c r="L124" i="21"/>
  <c r="J124" i="21"/>
  <c r="R43" i="21"/>
  <c r="N43" i="21"/>
  <c r="L43" i="21"/>
  <c r="R148" i="20"/>
  <c r="P148" i="20"/>
  <c r="N148" i="20"/>
  <c r="L148" i="20"/>
  <c r="J148" i="20"/>
  <c r="R124" i="20"/>
  <c r="P124" i="20"/>
  <c r="N124" i="20"/>
  <c r="L124" i="20"/>
  <c r="J124" i="20"/>
  <c r="R43" i="20"/>
  <c r="P43" i="20"/>
  <c r="N43" i="20"/>
  <c r="L43" i="20"/>
  <c r="J43" i="20"/>
  <c r="P148" i="18"/>
  <c r="N148" i="18"/>
  <c r="L148" i="18"/>
  <c r="J148" i="18"/>
  <c r="R124" i="18"/>
  <c r="P124" i="18"/>
  <c r="N124" i="18"/>
  <c r="L124" i="18"/>
  <c r="J124" i="18"/>
  <c r="R42" i="18"/>
  <c r="J42" i="18"/>
  <c r="P149" i="17"/>
  <c r="N149" i="17"/>
  <c r="L149" i="17"/>
  <c r="J149" i="17"/>
  <c r="R125" i="17"/>
  <c r="P125" i="17"/>
  <c r="N125" i="17"/>
  <c r="L125" i="17"/>
  <c r="J125" i="17"/>
  <c r="R42" i="17"/>
  <c r="P42" i="17"/>
  <c r="N42" i="17"/>
  <c r="L42" i="17"/>
  <c r="J42" i="17"/>
  <c r="P132" i="16"/>
  <c r="N132" i="16"/>
  <c r="L132" i="16"/>
  <c r="R42" i="16"/>
  <c r="R154" i="16" s="1"/>
  <c r="P42" i="16"/>
  <c r="N42" i="16"/>
  <c r="L42" i="16"/>
  <c r="J42" i="16"/>
  <c r="R121" i="13"/>
  <c r="J147" i="13"/>
  <c r="L42" i="13"/>
  <c r="L150" i="12"/>
  <c r="J150" i="12"/>
  <c r="R124" i="12"/>
  <c r="P124" i="12"/>
  <c r="N124" i="12"/>
  <c r="L124" i="12"/>
  <c r="J124" i="12"/>
  <c r="R43" i="12"/>
  <c r="P43" i="12"/>
  <c r="N43" i="12"/>
  <c r="L43" i="12"/>
  <c r="J43" i="12"/>
  <c r="N149" i="11"/>
  <c r="L149" i="11"/>
  <c r="J149" i="11"/>
  <c r="R125" i="11"/>
  <c r="P125" i="11"/>
  <c r="N125" i="11"/>
  <c r="L125" i="11"/>
  <c r="J125" i="11"/>
  <c r="R43" i="11"/>
  <c r="R151" i="11" s="1"/>
  <c r="P43" i="11"/>
  <c r="N43" i="11"/>
  <c r="J43" i="11"/>
  <c r="L149" i="7"/>
  <c r="J149" i="7"/>
  <c r="R124" i="7"/>
  <c r="P124" i="7"/>
  <c r="N124" i="7"/>
  <c r="L124" i="7"/>
  <c r="J124" i="7"/>
  <c r="P41" i="7"/>
  <c r="N41" i="7"/>
  <c r="L41" i="7"/>
  <c r="J41" i="7"/>
  <c r="L148" i="6"/>
  <c r="J148" i="6"/>
  <c r="R124" i="6"/>
  <c r="P124" i="6"/>
  <c r="P150" i="6" s="1"/>
  <c r="N124" i="6"/>
  <c r="L124" i="6"/>
  <c r="J124" i="6"/>
  <c r="R42" i="6"/>
  <c r="N42" i="6"/>
  <c r="L42" i="6"/>
  <c r="J42" i="6"/>
  <c r="L149" i="5"/>
  <c r="J149" i="5"/>
  <c r="R124" i="5"/>
  <c r="P124" i="5"/>
  <c r="N124" i="5"/>
  <c r="L124" i="5"/>
  <c r="J124" i="5"/>
  <c r="R42" i="5"/>
  <c r="R151" i="5" s="1"/>
  <c r="P42" i="5"/>
  <c r="N42" i="5"/>
  <c r="L42" i="5"/>
  <c r="J42" i="5"/>
  <c r="R86" i="1"/>
  <c r="T87" i="1" s="1"/>
  <c r="N35" i="1"/>
  <c r="L35" i="1"/>
  <c r="R150" i="6" l="1"/>
  <c r="N153" i="23"/>
  <c r="N154" i="22"/>
  <c r="N150" i="6"/>
  <c r="P154" i="22"/>
  <c r="P150" i="21"/>
  <c r="J151" i="17"/>
  <c r="R151" i="17"/>
  <c r="L150" i="6"/>
  <c r="P153" i="23"/>
  <c r="N150" i="21"/>
  <c r="J150" i="20"/>
  <c r="L150" i="20"/>
  <c r="L154" i="16"/>
  <c r="P151" i="11"/>
  <c r="N151" i="7"/>
  <c r="U44" i="5"/>
  <c r="N152" i="12"/>
  <c r="P150" i="18"/>
  <c r="J154" i="22"/>
  <c r="R147" i="13"/>
  <c r="L154" i="22"/>
  <c r="J150" i="21"/>
  <c r="L150" i="21"/>
  <c r="L150" i="18"/>
  <c r="L147" i="13"/>
  <c r="U148" i="13" s="1"/>
  <c r="N151" i="5"/>
  <c r="N150" i="20"/>
  <c r="R150" i="20"/>
  <c r="R150" i="21"/>
  <c r="P150" i="20"/>
  <c r="L151" i="17"/>
  <c r="L152" i="12"/>
  <c r="L151" i="5"/>
  <c r="P152" i="12"/>
  <c r="R152" i="12"/>
  <c r="J152" i="12"/>
  <c r="J154" i="16"/>
  <c r="P151" i="17"/>
  <c r="N151" i="17"/>
  <c r="P154" i="16"/>
  <c r="N151" i="11"/>
  <c r="J150" i="6"/>
  <c r="J151" i="7"/>
  <c r="J86" i="1"/>
  <c r="L153" i="23"/>
  <c r="R150" i="18"/>
  <c r="N150" i="18"/>
  <c r="U154" i="16"/>
  <c r="U42" i="16"/>
  <c r="J150" i="18"/>
  <c r="L43" i="11"/>
  <c r="L151" i="11" s="1"/>
  <c r="J151" i="11"/>
  <c r="L151" i="7"/>
  <c r="J151" i="5"/>
  <c r="P151" i="7"/>
  <c r="P151" i="5"/>
  <c r="N154" i="16"/>
  <c r="P86" i="1"/>
  <c r="N86" i="1"/>
  <c r="L84" i="1"/>
  <c r="L86" i="1" s="1"/>
  <c r="R165" i="20" l="1"/>
  <c r="N16" i="13"/>
  <c r="N42" i="13" s="1"/>
  <c r="N147" i="13" s="1"/>
  <c r="P42" i="13"/>
  <c r="P147" i="13" s="1"/>
  <c r="N16" i="15" l="1"/>
  <c r="N42" i="15" s="1"/>
  <c r="N147" i="15" s="1"/>
  <c r="P147" i="15"/>
  <c r="J153" i="23"/>
</calcChain>
</file>

<file path=xl/sharedStrings.xml><?xml version="1.0" encoding="utf-8"?>
<sst xmlns="http://schemas.openxmlformats.org/spreadsheetml/2006/main" count="14789" uniqueCount="642">
  <si>
    <t>PROVINCE OF RIZAL</t>
  </si>
  <si>
    <t>1011</t>
  </si>
  <si>
    <t>(Proposed)</t>
  </si>
  <si>
    <t>(1)</t>
  </si>
  <si>
    <t>(2)</t>
  </si>
  <si>
    <t>(3)</t>
  </si>
  <si>
    <t>Salaries and Wages - Regular</t>
  </si>
  <si>
    <t>01</t>
  </si>
  <si>
    <t>010</t>
  </si>
  <si>
    <t>Salaries and Wages - Casual/Contractual</t>
  </si>
  <si>
    <t>020</t>
  </si>
  <si>
    <t>Personnel Economic Relief Allowance (PERA)</t>
  </si>
  <si>
    <t>02</t>
  </si>
  <si>
    <t>Representation Allowance (RA)</t>
  </si>
  <si>
    <t>Transportation Allowance (TA)</t>
  </si>
  <si>
    <t>030</t>
  </si>
  <si>
    <t>Clothing/Uniform Allowance</t>
  </si>
  <si>
    <t>040</t>
  </si>
  <si>
    <t>Quarters Allowance</t>
  </si>
  <si>
    <t>070</t>
  </si>
  <si>
    <t>Productivity Incentive Allowance</t>
  </si>
  <si>
    <t>Honoraria</t>
  </si>
  <si>
    <t>Hazard Pay</t>
  </si>
  <si>
    <t>Overtime and Night Pay</t>
  </si>
  <si>
    <t>130</t>
  </si>
  <si>
    <t>Cash Gift</t>
  </si>
  <si>
    <t>150</t>
  </si>
  <si>
    <t>Year End Bonus</t>
  </si>
  <si>
    <t>140</t>
  </si>
  <si>
    <t>03</t>
  </si>
  <si>
    <t>Pag-IBIG Contributions</t>
  </si>
  <si>
    <t>PhilHealth Contributions</t>
  </si>
  <si>
    <t>Employees Compensation Insurance Premiums</t>
  </si>
  <si>
    <t>Terminal Leave Benefits</t>
  </si>
  <si>
    <t>04</t>
  </si>
  <si>
    <t>Other Personnel Benefits</t>
  </si>
  <si>
    <t xml:space="preserve">Total Personal Services </t>
  </si>
  <si>
    <t>Traveling Expenses - Local</t>
  </si>
  <si>
    <t>Traveling Expenses - Foreign</t>
  </si>
  <si>
    <t>Training Expenses</t>
  </si>
  <si>
    <t xml:space="preserve">Office Supplies Expenses </t>
  </si>
  <si>
    <t>Accountable Forms Expenses</t>
  </si>
  <si>
    <t>Animal/Zoological Supplies Expenses</t>
  </si>
  <si>
    <t>Food Supplies Expenses</t>
  </si>
  <si>
    <t>Fuel, Oil and Lubricants Expenses</t>
  </si>
  <si>
    <t>090</t>
  </si>
  <si>
    <t>Military, Police and Traffic Supplies Expenses</t>
  </si>
  <si>
    <t>120</t>
  </si>
  <si>
    <t>Other Supplies and Materials Expenses</t>
  </si>
  <si>
    <t>990</t>
  </si>
  <si>
    <t>Water Expenses</t>
  </si>
  <si>
    <t>Chemical and Filtering Supplies Expenses</t>
  </si>
  <si>
    <t>Electricity Expenses</t>
  </si>
  <si>
    <t xml:space="preserve">Postage and Courier Services </t>
  </si>
  <si>
    <t>05</t>
  </si>
  <si>
    <t>Telephone Expenses</t>
  </si>
  <si>
    <t>Internet Subscription Expenses</t>
  </si>
  <si>
    <t>Cable, Satellite, Telegraph and Radio Expenses</t>
  </si>
  <si>
    <t>Membership Dues and Contributions to Organizations</t>
  </si>
  <si>
    <t>99</t>
  </si>
  <si>
    <t>060</t>
  </si>
  <si>
    <t>Advertising Expenses</t>
  </si>
  <si>
    <t>Printing and Publication Expenses</t>
  </si>
  <si>
    <t>Rent Expenses</t>
  </si>
  <si>
    <t>050</t>
  </si>
  <si>
    <t>Subscription Expenses</t>
  </si>
  <si>
    <t>Awards/Rewards Expenses</t>
  </si>
  <si>
    <t>06</t>
  </si>
  <si>
    <t>Prizes</t>
  </si>
  <si>
    <t>Consultancy Services</t>
  </si>
  <si>
    <t>11</t>
  </si>
  <si>
    <t>Janitorial Services</t>
  </si>
  <si>
    <t>Other Professional Services</t>
  </si>
  <si>
    <t xml:space="preserve">Repairs and Maintenance - Machinery and Equipment </t>
  </si>
  <si>
    <t>13</t>
  </si>
  <si>
    <t xml:space="preserve">Repairs and Maintenance - Furniture and  Fixtures </t>
  </si>
  <si>
    <t xml:space="preserve">Repairs and Maintenance - Transportation Equipment  </t>
  </si>
  <si>
    <t>Repairs and Maintenance - Other Property, Plant and Equipment</t>
  </si>
  <si>
    <t xml:space="preserve">Subsidy to NGAs </t>
  </si>
  <si>
    <t>14</t>
  </si>
  <si>
    <t xml:space="preserve">Subsidy to Other Local Government Units </t>
  </si>
  <si>
    <t>Donations</t>
  </si>
  <si>
    <t>080</t>
  </si>
  <si>
    <t>Confidential Expenses</t>
  </si>
  <si>
    <t>10</t>
  </si>
  <si>
    <t>Intelligence Expenses</t>
  </si>
  <si>
    <t>Extraordinary and Miscellaneous Expenses</t>
  </si>
  <si>
    <t>Insurance Expenses</t>
  </si>
  <si>
    <t>Welfare Goods Expenses</t>
  </si>
  <si>
    <t>Other Current Assets</t>
  </si>
  <si>
    <t>Guaranty Deposits</t>
  </si>
  <si>
    <t>Property, Plant and Equipment</t>
  </si>
  <si>
    <t>Land</t>
  </si>
  <si>
    <t>07</t>
  </si>
  <si>
    <t>Buildings</t>
  </si>
  <si>
    <t>Other Structures</t>
  </si>
  <si>
    <t>Office Equipment</t>
  </si>
  <si>
    <t xml:space="preserve">Furniture and Fixtures </t>
  </si>
  <si>
    <t xml:space="preserve">Information and Communication Technology  Equipment </t>
  </si>
  <si>
    <t xml:space="preserve">Books </t>
  </si>
  <si>
    <t>Communication Equipment</t>
  </si>
  <si>
    <t xml:space="preserve">Military, Police and Security Equipment </t>
  </si>
  <si>
    <t>100</t>
  </si>
  <si>
    <t>Sports Equipment</t>
  </si>
  <si>
    <t xml:space="preserve">Technical and Scientific  Equipment </t>
  </si>
  <si>
    <t xml:space="preserve">Other Machinery and Equipment </t>
  </si>
  <si>
    <t>Motor Vehicles</t>
  </si>
  <si>
    <t>Other Property, Plant and Equipment</t>
  </si>
  <si>
    <t>Total Capital Outlay</t>
  </si>
  <si>
    <t>Bank Charges</t>
  </si>
  <si>
    <t xml:space="preserve">     TOTAL APPROPRIATIONS</t>
  </si>
  <si>
    <t>PROGRAMMED APPROPRIATION AND OBLIGATION BY OBJECT OF EXPENDITURE</t>
  </si>
  <si>
    <t>Account Code</t>
  </si>
  <si>
    <t>:</t>
  </si>
  <si>
    <t>PROVINCIAL GOVERNOR</t>
  </si>
  <si>
    <t>General Public Services</t>
  </si>
  <si>
    <t>Executive Services</t>
  </si>
  <si>
    <t>General Fund</t>
  </si>
  <si>
    <t xml:space="preserve">Office/Department         </t>
  </si>
  <si>
    <t xml:space="preserve">Function                         </t>
  </si>
  <si>
    <t xml:space="preserve">Project/Activity              </t>
  </si>
  <si>
    <t xml:space="preserve">Fund/Special Account   </t>
  </si>
  <si>
    <t>Current Year (Estimate)</t>
  </si>
  <si>
    <t>First Semester</t>
  </si>
  <si>
    <t>(Actual)</t>
  </si>
  <si>
    <t>Second Semester</t>
  </si>
  <si>
    <t>(Estimate)</t>
  </si>
  <si>
    <t>Total</t>
  </si>
  <si>
    <t>(4)</t>
  </si>
  <si>
    <t>(5)</t>
  </si>
  <si>
    <t>(6)</t>
  </si>
  <si>
    <t>(7)</t>
  </si>
  <si>
    <t>Budget Year</t>
  </si>
  <si>
    <t>Prepared by:</t>
  </si>
  <si>
    <t xml:space="preserve">  Reviewed by:</t>
  </si>
  <si>
    <t>Approved:</t>
  </si>
  <si>
    <t xml:space="preserve"> PRISCILLA R. PADUA</t>
  </si>
  <si>
    <t>REBECCA A. YNARES</t>
  </si>
  <si>
    <t>Provincial Budget Officer</t>
  </si>
  <si>
    <t>Governor</t>
  </si>
  <si>
    <t>Other Bonuses and Allowances</t>
  </si>
  <si>
    <t>Subsistence Allowance</t>
  </si>
  <si>
    <t>Scholarship Grants/Expenses</t>
  </si>
  <si>
    <t>Overseas Allowance</t>
  </si>
  <si>
    <t>Laundry  Allowance</t>
  </si>
  <si>
    <t>Longevity Pay</t>
  </si>
  <si>
    <t>110</t>
  </si>
  <si>
    <t xml:space="preserve">Pension Benefits </t>
  </si>
  <si>
    <t xml:space="preserve">Retirement Gratuity </t>
  </si>
  <si>
    <t>Provident/Welfare Fund Contributions</t>
  </si>
  <si>
    <t>Drugs and Medicines Expenses</t>
  </si>
  <si>
    <t>Medical, Dental and Laboratory Supplies Expenses</t>
  </si>
  <si>
    <t>Agricultural and Marine Supplies Expenses</t>
  </si>
  <si>
    <t>Textbooks and Instructional Materials Expenses</t>
  </si>
  <si>
    <t>Non-Accountable Forms Expenses</t>
  </si>
  <si>
    <t>Representation Expenses</t>
  </si>
  <si>
    <t>Transportation and Delivery Expenses</t>
  </si>
  <si>
    <t>Survey Expenses</t>
  </si>
  <si>
    <t>Legal Services</t>
  </si>
  <si>
    <t>Auditing Services</t>
  </si>
  <si>
    <t>Environment/Sanitary Services</t>
  </si>
  <si>
    <t>Other General Services</t>
  </si>
  <si>
    <t>Security Services</t>
  </si>
  <si>
    <t>12</t>
  </si>
  <si>
    <t>Repairs and Maintenance - Land Improvements</t>
  </si>
  <si>
    <t>Repairs and Maintenance - Infrastructure Assets</t>
  </si>
  <si>
    <t>Repairs and Maintenance - Buildings and Other Structures</t>
  </si>
  <si>
    <t>Repairs and Maintenance - Investment Property</t>
  </si>
  <si>
    <t>Repairs and Maintenance - Leased Assets Improvements</t>
  </si>
  <si>
    <t>Subsidy to Other  Funds</t>
  </si>
  <si>
    <t>Subsidy to General Fund Proper/Special Accounts</t>
  </si>
  <si>
    <t>Subsidy to Local Economic Enterprises</t>
  </si>
  <si>
    <t>Taxes, Duties and Licenses</t>
  </si>
  <si>
    <t xml:space="preserve">Fidelity Bond Premiums </t>
  </si>
  <si>
    <t>16</t>
  </si>
  <si>
    <t>Construction and Heavy Equipment</t>
  </si>
  <si>
    <t>Disaster Response and Rescue Equipment</t>
  </si>
  <si>
    <t>Medical Equipment</t>
  </si>
  <si>
    <t>Road Networks</t>
  </si>
  <si>
    <t>Parks, Plazas and Monuments</t>
  </si>
  <si>
    <t xml:space="preserve">Commitment Fees  </t>
  </si>
  <si>
    <t xml:space="preserve">Other Financial Charges </t>
  </si>
  <si>
    <t xml:space="preserve">Interest Expenses </t>
  </si>
  <si>
    <t>Management Supervision/Trusteeship Fees</t>
  </si>
  <si>
    <t xml:space="preserve">Guarantee Fees  </t>
  </si>
  <si>
    <t>Total Financial Expenses</t>
  </si>
  <si>
    <t xml:space="preserve">O b j e c t   o f   E x p e n d i t u r e </t>
  </si>
  <si>
    <t xml:space="preserve">Personal Services </t>
  </si>
  <si>
    <t>Maintenance and Other Operating Expenses</t>
  </si>
  <si>
    <t>Financial Expenses</t>
  </si>
  <si>
    <t>Capital Outlays</t>
  </si>
  <si>
    <t>Total Maintenance &amp; Other Operating Expenses</t>
  </si>
  <si>
    <t>1021</t>
  </si>
  <si>
    <t>SANGGUNIANG PANLALAWIGAN</t>
  </si>
  <si>
    <t xml:space="preserve">  REYNALDO H. SAN JUAN, JR.</t>
  </si>
  <si>
    <t>Vice-Governor</t>
  </si>
  <si>
    <t>1022</t>
  </si>
  <si>
    <t>SANGGUNIANG PANLALAWIGAN - SECRETARIAT</t>
  </si>
  <si>
    <t>PROVINCIAL ADMINISTRATOR</t>
  </si>
  <si>
    <t>Administrative Services</t>
  </si>
  <si>
    <t>HUMAN RESOURCE MANAGEMENT</t>
  </si>
  <si>
    <t>Administrative Services (Administration, Management and Payroll System)</t>
  </si>
  <si>
    <t>PROVINCIAL PLANNING &amp; DEVELOPMENT</t>
  </si>
  <si>
    <t>PROVINCIAL GENERAL SERVICES</t>
  </si>
  <si>
    <t>PROVINCIAL BUDGET</t>
  </si>
  <si>
    <t>PROVINCIAL ACCOUNTANT</t>
  </si>
  <si>
    <t>MA. TERESA E. LASQUETY</t>
  </si>
  <si>
    <t>PROVINCIAL TREASURER</t>
  </si>
  <si>
    <t>Treasury Services</t>
  </si>
  <si>
    <t>PROVINCIAL ASSESSOR</t>
  </si>
  <si>
    <t>PROVINCIAL LEGAL</t>
  </si>
  <si>
    <t>PROVINCIAL SOCIAL WELFARE AND DEVELOPMENT</t>
  </si>
  <si>
    <t>PROVINCIAL AGRICULTURIST</t>
  </si>
  <si>
    <t>REYNALDO L. BONITA, DVM</t>
  </si>
  <si>
    <t>Social Services</t>
  </si>
  <si>
    <t>Economic Services</t>
  </si>
  <si>
    <t>Agricultural Services</t>
  </si>
  <si>
    <t>PROVINCIAL VETERINARIAN</t>
  </si>
  <si>
    <t>Veterinary Services</t>
  </si>
  <si>
    <t xml:space="preserve">  Provincial Veterinarian</t>
  </si>
  <si>
    <t>PROVINCIAL ENGINEER</t>
  </si>
  <si>
    <t>Engineering Services</t>
  </si>
  <si>
    <t>ENGR. LUISITO G. MUNSOD</t>
  </si>
  <si>
    <t xml:space="preserve">  Provincial Engineer</t>
  </si>
  <si>
    <t>General Fund/Hospitals (09)</t>
  </si>
  <si>
    <t>3361 (1)</t>
  </si>
  <si>
    <t>PROVINCIAL GOVERNOR (YNARES CENTER)</t>
  </si>
  <si>
    <t>Operation of Sports Center</t>
  </si>
  <si>
    <t>General Fund/Sports Center (11)</t>
  </si>
  <si>
    <t>PROVINCIAL GOVERNOR (YNARES SPORTS ARENA)</t>
  </si>
  <si>
    <t>3361 (2)</t>
  </si>
  <si>
    <t>PROVINCIAL ENGINEER'S OFFICE</t>
  </si>
  <si>
    <t>Construction, Repair and Maintenance of Infrastructure Facilities</t>
  </si>
  <si>
    <t>Miscellaneous Health Services - Others</t>
  </si>
  <si>
    <t>4999</t>
  </si>
  <si>
    <t>Parks, Plaza and Monuments</t>
  </si>
  <si>
    <t>School Buildings</t>
  </si>
  <si>
    <t>Water Supply Systems</t>
  </si>
  <si>
    <t>Other Infrastructure Assets</t>
  </si>
  <si>
    <t>Engineering Services - Construction</t>
  </si>
  <si>
    <t>8752</t>
  </si>
  <si>
    <t>Flood Control Systems</t>
  </si>
  <si>
    <t>Power Supply Systems</t>
  </si>
  <si>
    <t>Engineering Services - Maintenance</t>
  </si>
  <si>
    <t>8753</t>
  </si>
  <si>
    <t>Economic Development Programs</t>
  </si>
  <si>
    <t xml:space="preserve">  Tourism Projects</t>
  </si>
  <si>
    <t>Purchase, Construction and Improvement</t>
  </si>
  <si>
    <t>of Government facilities</t>
  </si>
  <si>
    <t>4918</t>
  </si>
  <si>
    <t>Development Projects, Community (18)</t>
  </si>
  <si>
    <t>General Fund / 20% Development Fund</t>
  </si>
  <si>
    <t xml:space="preserve"> - Health</t>
  </si>
  <si>
    <t xml:space="preserve"> - Housing and Community Development</t>
  </si>
  <si>
    <t>8918</t>
  </si>
  <si>
    <t xml:space="preserve">OFFICE OF THE GOVERNOR </t>
  </si>
  <si>
    <t>Other Purposes</t>
  </si>
  <si>
    <t xml:space="preserve">      LOEL M. MALONZO</t>
  </si>
  <si>
    <t>Statutory and Contractual Obligations - Aid to Barangay</t>
  </si>
  <si>
    <t>08</t>
  </si>
  <si>
    <t>Other Maintenance and Operating Expenses</t>
  </si>
  <si>
    <t>Watercrafts</t>
  </si>
  <si>
    <t>6918</t>
  </si>
  <si>
    <t>Retirement and Life Insurance Contributions</t>
  </si>
  <si>
    <t>Other Land Improvements</t>
  </si>
  <si>
    <t>DR. REYNALDO H. SAN JUAN, JR.</t>
  </si>
  <si>
    <t>Vice Governor</t>
  </si>
  <si>
    <t>MARIA PAULINE T. DIÑOZO, RSW</t>
  </si>
  <si>
    <t>Past Year</t>
  </si>
  <si>
    <t>OIC - Provincial Budget Office</t>
  </si>
  <si>
    <t xml:space="preserve">Subsidy to NGO's/PO's </t>
  </si>
  <si>
    <t>Computer Software</t>
  </si>
  <si>
    <t>09</t>
  </si>
  <si>
    <t>Research and Exploration Development Expenses</t>
  </si>
  <si>
    <t>as of june 30, 2017</t>
  </si>
  <si>
    <t>Desilting &amp; Dredging Expenses</t>
  </si>
  <si>
    <t>Reviewed by:</t>
  </si>
  <si>
    <t>JOSEPH G. CEÑIDOZA</t>
  </si>
  <si>
    <t>Provincial Treasurer</t>
  </si>
  <si>
    <t>JOSEPH G.  CEÑIDOZA</t>
  </si>
  <si>
    <t xml:space="preserve">Disaster Response &amp; Rescue Equipment </t>
  </si>
  <si>
    <t xml:space="preserve"> </t>
  </si>
  <si>
    <t>Provincial Engineer</t>
  </si>
  <si>
    <t>Furniture &amp; Fixture</t>
  </si>
  <si>
    <t>Subsidy to National Government Agencies</t>
  </si>
  <si>
    <t>Provincial Social Welfare and Development Officer</t>
  </si>
  <si>
    <t>1</t>
  </si>
  <si>
    <t>ENGR. MARCELO M. PASCUAL</t>
  </si>
  <si>
    <t>ANGEL Q. DAQUIGAN, JR., MD. FPCS, FPSGS</t>
  </si>
  <si>
    <t>RIZAL PROVINCIAL HOSPITAL SYSTEM (RPHS)</t>
  </si>
  <si>
    <t>2019</t>
  </si>
  <si>
    <t>MAURA MARIVIC S. LEYVA</t>
  </si>
  <si>
    <t>OIC - Provincial Planning &amp; - Dev't. Coordinator</t>
  </si>
  <si>
    <t>JEROME H. DELA ROSA</t>
  </si>
  <si>
    <t>ATTY. MARIA SALVE R. ADAMOS</t>
  </si>
  <si>
    <t>OIC - Provincial Administrator</t>
  </si>
  <si>
    <t>EUGENE P. DURUSAN</t>
  </si>
  <si>
    <t>PGDH - Human Resource Management Office</t>
  </si>
  <si>
    <t>ENGR. CESAR  M. CORTEZ, EnP</t>
  </si>
  <si>
    <t>BONIFACIO T. MASILANG, JR.</t>
  </si>
  <si>
    <t>PGDH - Provincial General Services Office</t>
  </si>
  <si>
    <t>OIC - Office of the Provincial Accountant</t>
  </si>
  <si>
    <t xml:space="preserve">  OIC - Provincial Agriculturist</t>
  </si>
  <si>
    <t>Administrator, Ynares Sports Arena</t>
  </si>
  <si>
    <t>Repairs &amp; Maintenance - Buildings &amp; Other Structures</t>
  </si>
  <si>
    <t>Capital Outlay</t>
  </si>
  <si>
    <t>Repairs &amp; Maintenance - Infrastructure Assets</t>
  </si>
  <si>
    <t>5</t>
  </si>
  <si>
    <t>Miscellaneous Educ., Culture, Sports &amp; Manpower Developemnt Services - Others</t>
  </si>
  <si>
    <t>Hospital and Health Centers</t>
  </si>
  <si>
    <t>Information and Communication Technology Equipment</t>
  </si>
  <si>
    <t>Subsidy to Other Local Government Units</t>
  </si>
  <si>
    <t>Membership Dues &amp; Contr. To Organizations</t>
  </si>
  <si>
    <t>of Government facilities - Economic Services</t>
  </si>
  <si>
    <t>Hospitals &amp; Health Centers</t>
  </si>
  <si>
    <t>OIC - SP Secretariat</t>
  </si>
  <si>
    <t>Provincial Government Department Head - RPHS</t>
  </si>
  <si>
    <t>Prov'l. Gov't. Asst, Dept. Head</t>
  </si>
  <si>
    <t>Repairs and Maintenance - Machinery and Equipment</t>
  </si>
  <si>
    <r>
      <t>F</t>
    </r>
    <r>
      <rPr>
        <b/>
        <i/>
        <sz val="10"/>
        <rFont val="Arial"/>
        <family val="2"/>
      </rPr>
      <t>financial assets - Others</t>
    </r>
  </si>
  <si>
    <t>Demolition &amp; Relocation Expenses</t>
  </si>
  <si>
    <t>Repair &amp; Maintenance - Land Improvement</t>
  </si>
  <si>
    <t>Furniture and Fixtures</t>
  </si>
  <si>
    <t>Miscellaneous Housing and Community Development - Others</t>
  </si>
  <si>
    <t>Statutory and Contractual Obligations - Provincial Disaster Risk Reduction and Management</t>
  </si>
  <si>
    <t>LOEL M. MALONZO</t>
  </si>
  <si>
    <t>Planning and Development Coordination</t>
  </si>
  <si>
    <t>General Services</t>
  </si>
  <si>
    <t>Budgeting Services</t>
  </si>
  <si>
    <t>Accounting Services</t>
  </si>
  <si>
    <t>Assessment of Real Property</t>
  </si>
  <si>
    <t>Social Welfare Services</t>
  </si>
  <si>
    <t>Hospital</t>
  </si>
  <si>
    <t xml:space="preserve">Legislative Support Services </t>
  </si>
  <si>
    <t>Legislative Services - Legislation</t>
  </si>
  <si>
    <t>PROVINCIAL HEALTH OFFICE</t>
  </si>
  <si>
    <t>Health Services - General Administration</t>
  </si>
  <si>
    <t>ILUMINADO A. VICTORIA, M.D.</t>
  </si>
  <si>
    <t>Provincial Health Officer II</t>
  </si>
  <si>
    <t>PROVINCIAL DISASTER RISK AND REDUCTION MANAGEMENT OFFICE</t>
  </si>
  <si>
    <t>PDRRM - General Administration</t>
  </si>
  <si>
    <t>Medical,Dental &amp; Laboratory Supplies Expenses</t>
  </si>
  <si>
    <t>ATTY. ROSELLE A. RAMILO</t>
  </si>
  <si>
    <t>1999</t>
  </si>
  <si>
    <t>Miscellaneous General Public Services - Others</t>
  </si>
  <si>
    <t>OIC - Provincial Legal Office</t>
  </si>
  <si>
    <t>Provincial Administrator</t>
  </si>
  <si>
    <t>OIC - Provincial Assessor's Office</t>
  </si>
  <si>
    <t>RUBEN B. VICTORINO</t>
  </si>
  <si>
    <t>Head Maintenance, Ynares Center</t>
  </si>
  <si>
    <t>FDPP Form 1 - Annual Budget Report</t>
  </si>
  <si>
    <t>(DBM Local Budget Memorandum No. 80 dated May 18, 2020, LBP Form No. 1)</t>
  </si>
  <si>
    <t>GENERAL FUND</t>
  </si>
  <si>
    <t>RIZAL PROVINCIAL GOVERNMENT</t>
  </si>
  <si>
    <t>Particulars</t>
  </si>
  <si>
    <t xml:space="preserve">Income Classification </t>
  </si>
  <si>
    <t>Past Year                                                                                                (Actual)</t>
  </si>
  <si>
    <t>Current Year Appropriation</t>
  </si>
  <si>
    <t>Budget Year    (Proposed)</t>
  </si>
  <si>
    <t>I. Beginning Cash Balance</t>
  </si>
  <si>
    <t>II. Receipts</t>
  </si>
  <si>
    <t>A. Local Sources</t>
  </si>
  <si>
    <t>1. Tax Revenue</t>
  </si>
  <si>
    <t>a. Real Property Tax -Basic</t>
  </si>
  <si>
    <t>4-01-02-040</t>
  </si>
  <si>
    <t>R</t>
  </si>
  <si>
    <t>1. Current Year</t>
  </si>
  <si>
    <t>2. Previous Year</t>
  </si>
  <si>
    <t>3. Fines and Penalties -Local Taxes</t>
  </si>
  <si>
    <t>4-01-05-020</t>
  </si>
  <si>
    <t>b. Business Tax</t>
  </si>
  <si>
    <t xml:space="preserve">1. Tax on Sand, Gravel and Other </t>
  </si>
  <si>
    <t>Quarry Products</t>
  </si>
  <si>
    <t>4-01-03-040</t>
  </si>
  <si>
    <t>2. Tax on Delivery Trucks and Vans</t>
  </si>
  <si>
    <t>4-01-03-050</t>
  </si>
  <si>
    <t>3. Amusement Tax</t>
  </si>
  <si>
    <t>4-01-03-060</t>
  </si>
  <si>
    <t>4. Franchise Tax</t>
  </si>
  <si>
    <t>4-01-03-070</t>
  </si>
  <si>
    <t>5. Printing and Publication Tax</t>
  </si>
  <si>
    <t>4-01-03-080</t>
  </si>
  <si>
    <t>c. Other Local Sources</t>
  </si>
  <si>
    <t>1. Professional Tax</t>
  </si>
  <si>
    <t>4-01-01-020</t>
  </si>
  <si>
    <t>2. Real Property Transfer Tax</t>
  </si>
  <si>
    <t>4-01-02-080</t>
  </si>
  <si>
    <t>3. Other Taxes</t>
  </si>
  <si>
    <t>4-01-04-990</t>
  </si>
  <si>
    <t>Filing Fee</t>
  </si>
  <si>
    <t>Field Verification Fee</t>
  </si>
  <si>
    <t>Registration Fee</t>
  </si>
  <si>
    <t>Extraction Fee</t>
  </si>
  <si>
    <t>Hauling Fee</t>
  </si>
  <si>
    <t>Quarry Fee</t>
  </si>
  <si>
    <t>4. Fines and Penalties - Local Taxes</t>
  </si>
  <si>
    <t>Taxes on Individual and Corporation</t>
  </si>
  <si>
    <t>4-01-05-010</t>
  </si>
  <si>
    <t>Property Taxes</t>
  </si>
  <si>
    <t>Taxes on Goods and Services</t>
  </si>
  <si>
    <t>4-01-05-030</t>
  </si>
  <si>
    <t>Total Tax Revenue</t>
  </si>
  <si>
    <t>2. Non-Tax Revenue</t>
  </si>
  <si>
    <t>a. Regulatory Fees</t>
  </si>
  <si>
    <t>1. Permit Fees</t>
  </si>
  <si>
    <t>4-02-01-010</t>
  </si>
  <si>
    <t>Governor's Permit</t>
  </si>
  <si>
    <t>2. Clearance and Certification Fees</t>
  </si>
  <si>
    <t>4-02-01-040</t>
  </si>
  <si>
    <t>Medical Certificate - Hospital</t>
  </si>
  <si>
    <t>Fiscal's C;earance</t>
  </si>
  <si>
    <t>Others</t>
  </si>
  <si>
    <t>3. Processing Fees</t>
  </si>
  <si>
    <t>4-02-01-130</t>
  </si>
  <si>
    <t>b. Service and User Charges</t>
  </si>
  <si>
    <t>1. Other Service Income</t>
  </si>
  <si>
    <t>4-02-01-990</t>
  </si>
  <si>
    <t>Others (IDs)</t>
  </si>
  <si>
    <t>Environmental Monitoring and</t>
  </si>
  <si>
    <t>Stabilization Fees</t>
  </si>
  <si>
    <t>A-RA 9003 - Rodriguez</t>
  </si>
  <si>
    <t>(share from MMDA Collection)</t>
  </si>
  <si>
    <t>A-RA 9003 - San Mateo</t>
  </si>
  <si>
    <t xml:space="preserve">A-RA 9003 </t>
  </si>
  <si>
    <t>(share from MMPC/SWIMS)</t>
  </si>
  <si>
    <t>Blasting</t>
  </si>
  <si>
    <t>2. Affiliation Fees (Hospital)</t>
  </si>
  <si>
    <t>4-02-02-020</t>
  </si>
  <si>
    <t>3. Rent Income</t>
  </si>
  <si>
    <t>4-02-02-050</t>
  </si>
  <si>
    <t>Capitol</t>
  </si>
  <si>
    <t>Ynares Center</t>
  </si>
  <si>
    <t>- Ynares Tiangge</t>
  </si>
  <si>
    <t>- Venue Rental</t>
  </si>
  <si>
    <t>Ynares Event Center</t>
  </si>
  <si>
    <t>Ynares Sports Arena (Pasig)</t>
  </si>
  <si>
    <t>Cuyambay Lot</t>
  </si>
  <si>
    <t>4. Parking Fees</t>
  </si>
  <si>
    <t>4-02-02-120</t>
  </si>
  <si>
    <t xml:space="preserve">5. Receipts from Operation of </t>
  </si>
  <si>
    <t>Hostels/Dormitories ans other Like</t>
  </si>
  <si>
    <t>Facilities (Bahay Pag-Asa)</t>
  </si>
  <si>
    <t>4-02-02-130</t>
  </si>
  <si>
    <t>6. Hospital Fees</t>
  </si>
  <si>
    <t>4-02-02-200</t>
  </si>
  <si>
    <t>Medical, Dental and Laboratory Fees</t>
  </si>
  <si>
    <t>Hospital Fees</t>
  </si>
  <si>
    <t>7. Other Receipts</t>
  </si>
  <si>
    <t>Dividend Income</t>
  </si>
  <si>
    <t>4-02-02-210</t>
  </si>
  <si>
    <t>- Divident Income - LLDA</t>
  </si>
  <si>
    <t>Interest Income</t>
  </si>
  <si>
    <t>4-02-02-220</t>
  </si>
  <si>
    <t>- Interest on Deposits with Gov't. Banks</t>
  </si>
  <si>
    <t>Miscellaneous Income</t>
  </si>
  <si>
    <t>4-06-01-010</t>
  </si>
  <si>
    <t>- Others</t>
  </si>
  <si>
    <t>Total Non-Tax Revenue</t>
  </si>
  <si>
    <t>Total Local Sources</t>
  </si>
  <si>
    <t>B. External Sources</t>
  </si>
  <si>
    <t xml:space="preserve">1. Share from Internal Revenue </t>
  </si>
  <si>
    <t>Collections (IRA)</t>
  </si>
  <si>
    <t>4-01-06-010</t>
  </si>
  <si>
    <t>2. Share from PCSO</t>
  </si>
  <si>
    <t>4-04-01-020</t>
  </si>
  <si>
    <t>3. Share from National Wealth</t>
  </si>
  <si>
    <t>4-01-06-030</t>
  </si>
  <si>
    <t>Share from Excise (Mining) Taxes</t>
  </si>
  <si>
    <t>Share from Geothermal/Wind</t>
  </si>
  <si>
    <t>Share from LLDA Fishpen Fee Collections</t>
  </si>
  <si>
    <t>4. Subsidy from National Government</t>
  </si>
  <si>
    <t>4-03-01-010</t>
  </si>
  <si>
    <t>NR</t>
  </si>
  <si>
    <t>Bayanihan Grant to Provinces (BGP)</t>
  </si>
  <si>
    <t>Total External Sources</t>
  </si>
  <si>
    <t>C. Non-Income Receipts</t>
  </si>
  <si>
    <t>1. Receipts from Loans and Borrowings</t>
  </si>
  <si>
    <t>Total Non-Income Receipts</t>
  </si>
  <si>
    <t>Total Receipts</t>
  </si>
  <si>
    <t>III. Expenditures</t>
  </si>
  <si>
    <t>A. Personal Services</t>
  </si>
  <si>
    <t>5-01-01-010</t>
  </si>
  <si>
    <t>5-01-01-020</t>
  </si>
  <si>
    <t>Personnel Economic Relief Allowance</t>
  </si>
  <si>
    <t>5-01-02-010</t>
  </si>
  <si>
    <t>Representation Allowance</t>
  </si>
  <si>
    <t>5-01-02-020</t>
  </si>
  <si>
    <t>Transportation Allowance</t>
  </si>
  <si>
    <t>5-01-02-030</t>
  </si>
  <si>
    <t>5-01-02-040</t>
  </si>
  <si>
    <t>5-01-02-050</t>
  </si>
  <si>
    <t>Laundry Allowance</t>
  </si>
  <si>
    <t>5-01-02-060</t>
  </si>
  <si>
    <t>Quarter Allowance</t>
  </si>
  <si>
    <t>5-01-02-070</t>
  </si>
  <si>
    <t>5-01-02-110</t>
  </si>
  <si>
    <t>5-01-02-130</t>
  </si>
  <si>
    <t>5-01-02-140</t>
  </si>
  <si>
    <t>5-01-02-150</t>
  </si>
  <si>
    <t>5-01-02-990</t>
  </si>
  <si>
    <t>5-01-03-010</t>
  </si>
  <si>
    <t>PAG-IBIG Contributions</t>
  </si>
  <si>
    <t>5-01-03-020</t>
  </si>
  <si>
    <t>PHILHEALTH Contributions</t>
  </si>
  <si>
    <t>5-01-03-030</t>
  </si>
  <si>
    <t>5-01-03-040</t>
  </si>
  <si>
    <t>Retirement Gratuity</t>
  </si>
  <si>
    <t>5-01-04-020</t>
  </si>
  <si>
    <t>5-01-04-030</t>
  </si>
  <si>
    <t>5-01-04-990</t>
  </si>
  <si>
    <t>Total Personal Services</t>
  </si>
  <si>
    <t>B. Maint. &amp; Other Operating Expenses</t>
  </si>
  <si>
    <t>Travelling Expenses - Local</t>
  </si>
  <si>
    <t>5-02-01-010</t>
  </si>
  <si>
    <t>Travelling Expenses - Foreign</t>
  </si>
  <si>
    <t>5-02-01-020</t>
  </si>
  <si>
    <t>5-02-02-010</t>
  </si>
  <si>
    <t>5-02-02-020</t>
  </si>
  <si>
    <t>Office Supplies Espenses</t>
  </si>
  <si>
    <t>5-02-03-010</t>
  </si>
  <si>
    <t>5-02-03-020</t>
  </si>
  <si>
    <t>5-02-03-040</t>
  </si>
  <si>
    <t>5-02-03-050</t>
  </si>
  <si>
    <t>5-02-03-060</t>
  </si>
  <si>
    <t>5-02-03-070</t>
  </si>
  <si>
    <t>Medical, Dental and Lab. Supplies Expenses</t>
  </si>
  <si>
    <t>5-02-03-080</t>
  </si>
  <si>
    <t>5-02-03-090</t>
  </si>
  <si>
    <t>5-02-03-100</t>
  </si>
  <si>
    <t>5-02-03-120</t>
  </si>
  <si>
    <t>5-02-03-990</t>
  </si>
  <si>
    <t>5-02-04-010</t>
  </si>
  <si>
    <t>5-02-04-020</t>
  </si>
  <si>
    <t>Postage and Courier Services</t>
  </si>
  <si>
    <t>5-02-05-010</t>
  </si>
  <si>
    <t>5-02-05-020</t>
  </si>
  <si>
    <t>5-02-05-030</t>
  </si>
  <si>
    <t>5-02-05-040</t>
  </si>
  <si>
    <t>5-02-06-010</t>
  </si>
  <si>
    <t>5-02-06-020</t>
  </si>
  <si>
    <t>Research,Exploration and Dev't. Expenses</t>
  </si>
  <si>
    <t>5-02-07-020</t>
  </si>
  <si>
    <t>5-02-08-010</t>
  </si>
  <si>
    <t>Desilting and Dredging Expenses</t>
  </si>
  <si>
    <t>5-02-08-020</t>
  </si>
  <si>
    <t>5-02-10-010</t>
  </si>
  <si>
    <t>5-02-10-030</t>
  </si>
  <si>
    <t>5-02-11-030</t>
  </si>
  <si>
    <t>5-02-11-990</t>
  </si>
  <si>
    <t>5-02-12-010</t>
  </si>
  <si>
    <t>5-02-12-020</t>
  </si>
  <si>
    <t>Rep. and Maint. - Land Improvements</t>
  </si>
  <si>
    <t>5-02-13-020</t>
  </si>
  <si>
    <t>Rep. and Maint. - Infrastructure Assets</t>
  </si>
  <si>
    <t>5-02-13-030</t>
  </si>
  <si>
    <t>Rep. and Maint. - Buildings and Other Structures</t>
  </si>
  <si>
    <t>5-02-13-040</t>
  </si>
  <si>
    <t>Rep. and Maint. - Machinery and Equipment</t>
  </si>
  <si>
    <t>5-02-13-050</t>
  </si>
  <si>
    <t>Rep. and Maint. - Transportation Equipment</t>
  </si>
  <si>
    <t>5-02-13-060</t>
  </si>
  <si>
    <t>Rep. and Maint. - Furniture and Fixtures</t>
  </si>
  <si>
    <t>5-02-13-070</t>
  </si>
  <si>
    <t>Rep. and Maint. - Other Prop., Plant and Equipt.</t>
  </si>
  <si>
    <t>5-02-13-990</t>
  </si>
  <si>
    <t>5-02-14-020</t>
  </si>
  <si>
    <t>5-02-14-030</t>
  </si>
  <si>
    <t>Transfer of Unspent Current Year DRRM Funds</t>
  </si>
  <si>
    <t>to the Trust Funds</t>
  </si>
  <si>
    <t>5-02-16-010</t>
  </si>
  <si>
    <t>Fidelity Bond Premiums</t>
  </si>
  <si>
    <t>5-02-16-020</t>
  </si>
  <si>
    <t>5-02-16-030</t>
  </si>
  <si>
    <t>5-02-99-010</t>
  </si>
  <si>
    <t>5-02-99-020</t>
  </si>
  <si>
    <t>5-02-99-040</t>
  </si>
  <si>
    <t>5-02-99-050</t>
  </si>
  <si>
    <t>Membership Dues and Contributions to Org.</t>
  </si>
  <si>
    <t>5-02-99-060</t>
  </si>
  <si>
    <t>5-02-99-070</t>
  </si>
  <si>
    <t>5-02-99-080</t>
  </si>
  <si>
    <t>5-02-99-990</t>
  </si>
  <si>
    <t>C. Financial Expenses</t>
  </si>
  <si>
    <t>5-03-01-040</t>
  </si>
  <si>
    <t>Other Financial Charges</t>
  </si>
  <si>
    <t>5-03-01-990</t>
  </si>
  <si>
    <t>D. Capital Outlay</t>
  </si>
  <si>
    <t>1-07-01-010</t>
  </si>
  <si>
    <t>1-07-02-990</t>
  </si>
  <si>
    <t>1-07-03-010</t>
  </si>
  <si>
    <t>Flood Control System</t>
  </si>
  <si>
    <t>1-07-03-020</t>
  </si>
  <si>
    <t>1-07-03-040</t>
  </si>
  <si>
    <t>1-07-03-990</t>
  </si>
  <si>
    <t>1-07-04-010</t>
  </si>
  <si>
    <t>1-07-04-020</t>
  </si>
  <si>
    <t>Hospitals and Health Centers</t>
  </si>
  <si>
    <t>1-07-04-030</t>
  </si>
  <si>
    <t>1-07-04-990</t>
  </si>
  <si>
    <t>1-07-05-020</t>
  </si>
  <si>
    <t>Information and Comm. Tech. Equipment</t>
  </si>
  <si>
    <t>1-07-05-030</t>
  </si>
  <si>
    <t>1-07-05-070</t>
  </si>
  <si>
    <t>1-07-05-080</t>
  </si>
  <si>
    <t>1-07-05-090</t>
  </si>
  <si>
    <t>Military, Police and Security Equipment</t>
  </si>
  <si>
    <t>1-07-05-100</t>
  </si>
  <si>
    <t>1-07-05-110</t>
  </si>
  <si>
    <t>Technical and Scientific Equipment</t>
  </si>
  <si>
    <t>1-07-05-140</t>
  </si>
  <si>
    <t>Other Machinery and Equipment</t>
  </si>
  <si>
    <t>1-07-05-990</t>
  </si>
  <si>
    <t>1-07-06-010</t>
  </si>
  <si>
    <t>1-07-07-010</t>
  </si>
  <si>
    <t>Books</t>
  </si>
  <si>
    <t>1-07-07-020</t>
  </si>
  <si>
    <t>1-07-99-990</t>
  </si>
  <si>
    <t>1-09-01-020</t>
  </si>
  <si>
    <t>Financial Assets - Others:</t>
  </si>
  <si>
    <t>1-02-05-020</t>
  </si>
  <si>
    <t>Special Purpose Appropriations (SPAs)</t>
  </si>
  <si>
    <t>Appropriation for Development Programs/</t>
  </si>
  <si>
    <t>Projects (20% Development Fund)</t>
  </si>
  <si>
    <t>Purchase, Construction and Improvement of</t>
  </si>
  <si>
    <t>Government Facilities - Health</t>
  </si>
  <si>
    <t>Government Facilities - Housing and</t>
  </si>
  <si>
    <t>Community Development</t>
  </si>
  <si>
    <t>Government Facilities - Economic</t>
  </si>
  <si>
    <t>Appropriation for Local Disaster Risk Reduction</t>
  </si>
  <si>
    <t>and Management (LDRRM) Programs/Projecs</t>
  </si>
  <si>
    <t>(5% LDRRM Fund)</t>
  </si>
  <si>
    <t>Aid to Barangays</t>
  </si>
  <si>
    <t>Other Authorized SPAs:</t>
  </si>
  <si>
    <t>9991 (BGP)</t>
  </si>
  <si>
    <t>Total Special Purpose Appropriations (SPAs)</t>
  </si>
  <si>
    <t>Total Expenditures</t>
  </si>
  <si>
    <t>We hereby certify that the information presented above are true and correct. We further certify that the foregoing estimated receipts are reasonably projected as collectible for the Budget Year.</t>
  </si>
  <si>
    <t>ENGR. CESAR M. CORTEZ, EnP</t>
  </si>
  <si>
    <t xml:space="preserve">JEROME H. DELA ROSA  </t>
  </si>
  <si>
    <t>OIC - Provincial Planning &amp; Dev't. Coordinator</t>
  </si>
  <si>
    <t>OIC - Provincial Accountant</t>
  </si>
  <si>
    <t>Provincial 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</si>
</sst>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_-* #,##0.00_-;\-* #,##0.00_-;_-* &quot;-&quot;??_-;_-@_-"/>
  </numFmts>
  <fonts count="23" x14ac:knownFonts="1">
    <font>
      <sz val="12"/>
      <name val="Helv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4">
    <xf numFmtId="39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42">
    <xf numFmtId="39" fontId="0" fillId="0" borderId="0" xfId="0"/>
    <xf numFmtId="39" fontId="2" fillId="0" borderId="0" xfId="0" applyFont="1" applyFill="1"/>
    <xf numFmtId="39" fontId="4" fillId="0" borderId="0" xfId="0" applyFont="1" applyFill="1" applyAlignment="1" applyProtection="1"/>
    <xf numFmtId="39" fontId="5" fillId="0" borderId="0" xfId="0" quotePrefix="1" applyFont="1" applyFill="1" applyAlignment="1" applyProtection="1">
      <alignment horizontal="right"/>
    </xf>
    <xf numFmtId="39" fontId="5" fillId="0" borderId="0" xfId="0" quotePrefix="1" applyFont="1" applyFill="1" applyAlignment="1" applyProtection="1">
      <alignment horizontal="center"/>
    </xf>
    <xf numFmtId="39" fontId="4" fillId="0" borderId="0" xfId="0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2" fillId="0" borderId="0" xfId="0" applyFont="1" applyFill="1" applyBorder="1"/>
    <xf numFmtId="39" fontId="2" fillId="0" borderId="0" xfId="0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left" indent="2"/>
    </xf>
    <xf numFmtId="49" fontId="2" fillId="0" borderId="1" xfId="1" applyNumberFormat="1" applyFont="1" applyFill="1" applyBorder="1" applyAlignment="1">
      <alignment horizontal="center" vertical="top"/>
    </xf>
    <xf numFmtId="39" fontId="6" fillId="0" borderId="0" xfId="0" applyFont="1" applyFill="1" applyBorder="1" applyAlignment="1" applyProtection="1">
      <alignment horizontal="left"/>
    </xf>
    <xf numFmtId="39" fontId="7" fillId="0" borderId="0" xfId="0" applyFont="1" applyFill="1" applyBorder="1" applyAlignment="1" applyProtection="1">
      <alignment horizontal="left"/>
    </xf>
    <xf numFmtId="43" fontId="2" fillId="0" borderId="0" xfId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vertical="top"/>
    </xf>
    <xf numFmtId="39" fontId="6" fillId="0" borderId="0" xfId="0" applyFont="1" applyFill="1" applyBorder="1" applyAlignment="1" applyProtection="1">
      <alignment horizontal="left" vertical="center" indent="3"/>
    </xf>
    <xf numFmtId="39" fontId="6" fillId="0" borderId="0" xfId="0" applyFont="1" applyFill="1" applyBorder="1" applyAlignment="1">
      <alignment vertical="center"/>
    </xf>
    <xf numFmtId="39" fontId="2" fillId="0" borderId="0" xfId="0" applyFont="1" applyFill="1" applyBorder="1" applyAlignment="1">
      <alignment vertical="center"/>
    </xf>
    <xf numFmtId="39" fontId="6" fillId="0" borderId="0" xfId="0" applyFont="1" applyFill="1" applyBorder="1" applyAlignment="1" applyProtection="1">
      <alignment horizontal="left" wrapText="1" indent="3"/>
    </xf>
    <xf numFmtId="43" fontId="6" fillId="0" borderId="2" xfId="1" applyFont="1" applyFill="1" applyBorder="1" applyAlignment="1">
      <alignment horizontal="right" vertical="center"/>
    </xf>
    <xf numFmtId="39" fontId="6" fillId="0" borderId="2" xfId="0" applyFont="1" applyFill="1" applyBorder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39" fontId="6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 indent="2"/>
    </xf>
    <xf numFmtId="39" fontId="6" fillId="0" borderId="0" xfId="0" applyFont="1" applyFill="1" applyBorder="1" applyAlignment="1" applyProtection="1">
      <alignment horizontal="left" vertical="center" indent="4"/>
    </xf>
    <xf numFmtId="39" fontId="6" fillId="0" borderId="0" xfId="0" applyFont="1" applyFill="1" applyBorder="1"/>
    <xf numFmtId="39" fontId="6" fillId="0" borderId="0" xfId="0" applyFont="1" applyFill="1" applyBorder="1" applyAlignment="1" applyProtection="1">
      <alignment horizontal="left" vertical="center"/>
    </xf>
    <xf numFmtId="43" fontId="6" fillId="0" borderId="3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Alignment="1">
      <alignment horizontal="left" indent="2"/>
    </xf>
    <xf numFmtId="39" fontId="2" fillId="0" borderId="0" xfId="0" applyFont="1" applyFill="1" applyAlignment="1"/>
    <xf numFmtId="43" fontId="2" fillId="0" borderId="0" xfId="1" applyFont="1" applyFill="1" applyBorder="1"/>
    <xf numFmtId="0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left" vertical="top" indent="3"/>
    </xf>
    <xf numFmtId="0" fontId="2" fillId="2" borderId="0" xfId="0" applyNumberFormat="1" applyFont="1" applyFill="1" applyBorder="1" applyAlignment="1">
      <alignment horizontal="left" vertical="center" indent="3"/>
    </xf>
    <xf numFmtId="0" fontId="2" fillId="2" borderId="0" xfId="0" applyNumberFormat="1" applyFont="1" applyFill="1" applyBorder="1" applyAlignment="1">
      <alignment horizontal="left" vertical="top" wrapText="1" indent="3"/>
    </xf>
    <xf numFmtId="39" fontId="2" fillId="0" borderId="0" xfId="0" applyFont="1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indent="7"/>
    </xf>
    <xf numFmtId="0" fontId="2" fillId="0" borderId="0" xfId="0" applyNumberFormat="1" applyFont="1" applyFill="1" applyBorder="1" applyAlignment="1">
      <alignment horizontal="left" indent="2"/>
    </xf>
    <xf numFmtId="0" fontId="2" fillId="0" borderId="0" xfId="1" applyNumberFormat="1" applyFont="1" applyFill="1" applyBorder="1" applyAlignment="1">
      <alignment horizontal="left" indent="4"/>
    </xf>
    <xf numFmtId="43" fontId="2" fillId="0" borderId="0" xfId="1" applyFont="1" applyFill="1" applyBorder="1" applyAlignment="1"/>
    <xf numFmtId="0" fontId="2" fillId="0" borderId="0" xfId="0" applyNumberFormat="1" applyFont="1" applyFill="1" applyBorder="1" applyAlignment="1">
      <alignment horizontal="left" indent="4"/>
    </xf>
    <xf numFmtId="0" fontId="2" fillId="0" borderId="0" xfId="1" applyNumberFormat="1" applyFont="1" applyFill="1" applyBorder="1"/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/>
    <xf numFmtId="0" fontId="6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0" fontId="6" fillId="0" borderId="0" xfId="0" applyNumberFormat="1" applyFont="1" applyFill="1" applyAlignment="1">
      <alignment horizontal="left" indent="2"/>
    </xf>
    <xf numFmtId="39" fontId="6" fillId="0" borderId="0" xfId="0" applyFont="1" applyFill="1" applyAlignment="1"/>
    <xf numFmtId="0" fontId="2" fillId="0" borderId="0" xfId="0" applyNumberFormat="1" applyFont="1" applyFill="1" applyAlignment="1">
      <alignment horizontal="left" indent="4"/>
    </xf>
    <xf numFmtId="49" fontId="2" fillId="0" borderId="0" xfId="1" applyNumberFormat="1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39" fontId="6" fillId="0" borderId="2" xfId="0" applyFont="1" applyFill="1" applyBorder="1"/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 indent="1"/>
    </xf>
    <xf numFmtId="0" fontId="2" fillId="2" borderId="0" xfId="0" applyNumberFormat="1" applyFont="1" applyFill="1" applyBorder="1" applyAlignment="1">
      <alignment horizontal="left" vertical="center" indent="1"/>
    </xf>
    <xf numFmtId="39" fontId="8" fillId="0" borderId="0" xfId="0" applyFont="1" applyFill="1" applyBorder="1" applyAlignment="1" applyProtection="1">
      <alignment horizontal="left"/>
    </xf>
    <xf numFmtId="39" fontId="8" fillId="0" borderId="0" xfId="0" applyFont="1" applyFill="1" applyBorder="1" applyAlignment="1" applyProtection="1">
      <alignment horizontal="left" vertical="center"/>
    </xf>
    <xf numFmtId="39" fontId="2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/>
    </xf>
    <xf numFmtId="39" fontId="2" fillId="0" borderId="0" xfId="0" applyFont="1" applyFill="1" applyAlignment="1">
      <alignment horizontal="center"/>
    </xf>
    <xf numFmtId="39" fontId="9" fillId="0" borderId="0" xfId="0" applyFont="1" applyFill="1" applyAlignment="1" applyProtection="1"/>
    <xf numFmtId="0" fontId="2" fillId="0" borderId="0" xfId="0" applyNumberFormat="1" applyFont="1" applyFill="1" applyBorder="1" applyAlignment="1">
      <alignment horizontal="left" indent="8"/>
    </xf>
    <xf numFmtId="0" fontId="2" fillId="0" borderId="0" xfId="0" applyNumberFormat="1" applyFont="1" applyFill="1" applyBorder="1" applyAlignment="1">
      <alignment horizontal="left" indent="10"/>
    </xf>
    <xf numFmtId="0" fontId="6" fillId="0" borderId="0" xfId="0" applyNumberFormat="1" applyFont="1" applyFill="1" applyBorder="1" applyAlignment="1">
      <alignment horizontal="left" indent="7"/>
    </xf>
    <xf numFmtId="0" fontId="5" fillId="0" borderId="0" xfId="0" quotePrefix="1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vertical="top" wrapText="1"/>
    </xf>
    <xf numFmtId="0" fontId="2" fillId="2" borderId="0" xfId="0" quotePrefix="1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horizontal="left" vertical="top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left" vertical="top" indent="1"/>
    </xf>
    <xf numFmtId="39" fontId="2" fillId="0" borderId="0" xfId="0" quotePrefix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center" vertic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lef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/>
    <xf numFmtId="39" fontId="2" fillId="0" borderId="0" xfId="0" applyFont="1" applyFill="1" applyBorder="1" applyAlignment="1">
      <alignment horizontal="left" indent="1"/>
    </xf>
    <xf numFmtId="39" fontId="6" fillId="0" borderId="0" xfId="0" applyFont="1" applyFill="1" applyBorder="1" applyAlignment="1" applyProtection="1">
      <alignment horizontal="left" vertical="center" indent="2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indent="3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quotePrefix="1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left" vertical="top" wrapText="1" indent="3"/>
    </xf>
    <xf numFmtId="0" fontId="6" fillId="0" borderId="0" xfId="0" applyNumberFormat="1" applyFont="1" applyFill="1" applyBorder="1" applyAlignment="1">
      <alignment vertical="top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39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indent="1"/>
    </xf>
    <xf numFmtId="0" fontId="2" fillId="0" borderId="0" xfId="0" quotePrefix="1" applyNumberFormat="1" applyFont="1" applyFill="1" applyBorder="1" applyAlignment="1">
      <alignment vertical="top" wrapText="1"/>
    </xf>
    <xf numFmtId="39" fontId="2" fillId="0" borderId="1" xfId="0" applyFont="1" applyFill="1" applyBorder="1"/>
    <xf numFmtId="0" fontId="2" fillId="0" borderId="0" xfId="0" applyNumberFormat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3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quotePrefix="1" applyNumberFormat="1" applyFont="1" applyFill="1" applyBorder="1" applyAlignment="1">
      <alignment vertical="top"/>
    </xf>
    <xf numFmtId="39" fontId="2" fillId="0" borderId="0" xfId="0" applyFont="1" applyFill="1" applyBorder="1" applyAlignment="1">
      <alignment vertical="top"/>
    </xf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6" fillId="0" borderId="5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 indent="1"/>
    </xf>
    <xf numFmtId="0" fontId="2" fillId="0" borderId="0" xfId="0" quotePrefix="1" applyNumberFormat="1" applyFont="1" applyFill="1" applyBorder="1" applyAlignment="1">
      <alignment horizontal="right"/>
    </xf>
    <xf numFmtId="39" fontId="6" fillId="0" borderId="0" xfId="0" applyFont="1" applyFill="1" applyBorder="1" applyAlignment="1">
      <alignment horizontal="left" vertical="top"/>
    </xf>
    <xf numFmtId="39" fontId="6" fillId="0" borderId="0" xfId="0" applyFont="1" applyFill="1" applyBorder="1" applyAlignment="1">
      <alignment horizontal="left" vertical="top" indent="1"/>
    </xf>
    <xf numFmtId="43" fontId="6" fillId="0" borderId="2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/>
    </xf>
    <xf numFmtId="43" fontId="11" fillId="0" borderId="0" xfId="1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6" fillId="2" borderId="2" xfId="1" applyFont="1" applyFill="1" applyBorder="1" applyAlignment="1">
      <alignment vertical="center"/>
    </xf>
    <xf numFmtId="43" fontId="6" fillId="0" borderId="2" xfId="1" applyFont="1" applyFill="1" applyBorder="1"/>
    <xf numFmtId="43" fontId="6" fillId="0" borderId="0" xfId="1" applyFont="1" applyFill="1" applyBorder="1"/>
    <xf numFmtId="43" fontId="2" fillId="0" borderId="0" xfId="1" applyFont="1" applyFill="1"/>
    <xf numFmtId="43" fontId="2" fillId="0" borderId="1" xfId="1" applyFont="1" applyFill="1" applyBorder="1"/>
    <xf numFmtId="43" fontId="2" fillId="0" borderId="0" xfId="1" applyFont="1" applyFill="1" applyAlignment="1"/>
    <xf numFmtId="43" fontId="2" fillId="0" borderId="0" xfId="1" applyFont="1" applyFill="1" applyBorder="1" applyAlignment="1">
      <alignment horizontal="left" indent="2"/>
    </xf>
    <xf numFmtId="43" fontId="2" fillId="0" borderId="0" xfId="1" applyFont="1" applyFill="1" applyBorder="1" applyAlignment="1">
      <alignment horizontal="left" indent="1"/>
    </xf>
    <xf numFmtId="43" fontId="6" fillId="0" borderId="4" xfId="1" applyFont="1" applyFill="1" applyBorder="1" applyAlignment="1">
      <alignment vertical="center"/>
    </xf>
    <xf numFmtId="0" fontId="2" fillId="0" borderId="0" xfId="0" quotePrefix="1" applyNumberFormat="1" applyFont="1" applyFill="1" applyBorder="1" applyAlignment="1">
      <alignment horizontal="left" vertical="top"/>
    </xf>
    <xf numFmtId="0" fontId="2" fillId="0" borderId="0" xfId="0" quotePrefix="1" applyNumberFormat="1" applyFont="1" applyFill="1" applyBorder="1" applyAlignment="1">
      <alignment horizontal="left" indent="1"/>
    </xf>
    <xf numFmtId="39" fontId="12" fillId="0" borderId="0" xfId="0" applyFont="1" applyFill="1" applyBorder="1" applyAlignment="1" applyProtection="1">
      <alignment horizontal="left" indent="1"/>
    </xf>
    <xf numFmtId="0" fontId="12" fillId="0" borderId="0" xfId="0" applyNumberFormat="1" applyFont="1" applyAlignment="1">
      <alignment vertical="top"/>
    </xf>
    <xf numFmtId="0" fontId="2" fillId="0" borderId="0" xfId="0" applyNumberFormat="1" applyFont="1" applyFill="1" applyBorder="1" applyAlignment="1">
      <alignment horizontal="left" vertical="top" wrapText="1" indent="1"/>
    </xf>
    <xf numFmtId="164" fontId="10" fillId="0" borderId="0" xfId="0" applyNumberFormat="1" applyFont="1" applyFill="1" applyBorder="1" applyAlignment="1" applyProtection="1">
      <alignment horizontal="left" indent="1"/>
    </xf>
    <xf numFmtId="43" fontId="10" fillId="0" borderId="0" xfId="1" applyFont="1" applyFill="1" applyBorder="1" applyAlignment="1">
      <alignment horizontal="right"/>
    </xf>
    <xf numFmtId="43" fontId="10" fillId="0" borderId="1" xfId="1" applyFont="1" applyFill="1" applyBorder="1" applyAlignment="1">
      <alignment horizontal="right"/>
    </xf>
    <xf numFmtId="43" fontId="10" fillId="0" borderId="0" xfId="1" applyFont="1" applyFill="1" applyBorder="1"/>
    <xf numFmtId="43" fontId="10" fillId="0" borderId="1" xfId="1" applyFont="1" applyFill="1" applyBorder="1"/>
    <xf numFmtId="43" fontId="10" fillId="0" borderId="0" xfId="0" applyNumberFormat="1" applyFont="1" applyFill="1" applyBorder="1"/>
    <xf numFmtId="43" fontId="10" fillId="0" borderId="0" xfId="1" applyFont="1" applyFill="1" applyBorder="1" applyAlignment="1">
      <alignment horizontal="left" indent="4"/>
    </xf>
    <xf numFmtId="43" fontId="10" fillId="0" borderId="0" xfId="1" applyNumberFormat="1" applyFont="1" applyFill="1" applyBorder="1" applyAlignment="1">
      <alignment horizontal="right"/>
    </xf>
    <xf numFmtId="39" fontId="2" fillId="2" borderId="0" xfId="0" applyFont="1" applyFill="1" applyBorder="1"/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 vertical="center" indent="1"/>
    </xf>
    <xf numFmtId="43" fontId="2" fillId="0" borderId="0" xfId="3" applyFont="1" applyFill="1" applyBorder="1" applyAlignment="1">
      <alignment horizontal="right"/>
    </xf>
    <xf numFmtId="43" fontId="2" fillId="0" borderId="0" xfId="3" applyFont="1" applyFill="1" applyBorder="1" applyAlignment="1"/>
    <xf numFmtId="43" fontId="10" fillId="0" borderId="0" xfId="3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NumberFormat="1" applyFont="1" applyFill="1" applyBorder="1" applyAlignment="1"/>
    <xf numFmtId="43" fontId="10" fillId="0" borderId="0" xfId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left" vertical="center" indent="1"/>
    </xf>
    <xf numFmtId="39" fontId="6" fillId="0" borderId="0" xfId="0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9" fontId="8" fillId="0" borderId="6" xfId="0" applyFont="1" applyFill="1" applyBorder="1" applyAlignment="1" applyProtection="1">
      <alignment horizontal="left"/>
    </xf>
    <xf numFmtId="39" fontId="6" fillId="0" borderId="4" xfId="0" applyFont="1" applyFill="1" applyBorder="1" applyAlignment="1" applyProtection="1">
      <alignment horizontal="left"/>
    </xf>
    <xf numFmtId="39" fontId="2" fillId="0" borderId="4" xfId="0" applyFont="1" applyFill="1" applyBorder="1"/>
    <xf numFmtId="43" fontId="2" fillId="0" borderId="4" xfId="1" applyFont="1" applyFill="1" applyBorder="1"/>
    <xf numFmtId="43" fontId="2" fillId="0" borderId="7" xfId="1" applyFont="1" applyFill="1" applyBorder="1"/>
    <xf numFmtId="39" fontId="6" fillId="0" borderId="8" xfId="0" applyFont="1" applyFill="1" applyBorder="1" applyAlignment="1" applyProtection="1">
      <alignment horizontal="left"/>
    </xf>
    <xf numFmtId="43" fontId="2" fillId="0" borderId="9" xfId="1" applyFont="1" applyFill="1" applyBorder="1"/>
    <xf numFmtId="39" fontId="2" fillId="0" borderId="8" xfId="0" applyFont="1" applyFill="1" applyBorder="1" applyAlignment="1" applyProtection="1">
      <alignment horizontal="left" indent="1"/>
    </xf>
    <xf numFmtId="0" fontId="2" fillId="0" borderId="8" xfId="0" applyNumberFormat="1" applyFont="1" applyFill="1" applyBorder="1" applyAlignment="1">
      <alignment horizontal="left" vertical="top" indent="1"/>
    </xf>
    <xf numFmtId="39" fontId="6" fillId="0" borderId="8" xfId="0" applyFont="1" applyFill="1" applyBorder="1" applyAlignment="1" applyProtection="1">
      <alignment horizontal="left" indent="2"/>
    </xf>
    <xf numFmtId="43" fontId="6" fillId="0" borderId="10" xfId="1" applyFont="1" applyFill="1" applyBorder="1" applyAlignment="1">
      <alignment horizontal="right" vertical="center"/>
    </xf>
    <xf numFmtId="39" fontId="2" fillId="0" borderId="8" xfId="0" applyFont="1" applyFill="1" applyBorder="1"/>
    <xf numFmtId="39" fontId="2" fillId="0" borderId="9" xfId="0" applyFont="1" applyFill="1" applyBorder="1"/>
    <xf numFmtId="39" fontId="6" fillId="0" borderId="11" xfId="0" applyFont="1" applyFill="1" applyBorder="1" applyAlignment="1" applyProtection="1">
      <alignment horizontal="left"/>
    </xf>
    <xf numFmtId="39" fontId="6" fillId="0" borderId="1" xfId="0" applyFont="1" applyFill="1" applyBorder="1" applyAlignment="1" applyProtection="1">
      <alignment horizontal="left" vertical="center"/>
    </xf>
    <xf numFmtId="43" fontId="6" fillId="0" borderId="1" xfId="1" applyFont="1" applyFill="1" applyBorder="1" applyAlignment="1">
      <alignment horizontal="right" vertical="center"/>
    </xf>
    <xf numFmtId="43" fontId="6" fillId="0" borderId="12" xfId="1" applyFont="1" applyFill="1" applyBorder="1" applyAlignment="1">
      <alignment horizontal="right" vertical="center"/>
    </xf>
    <xf numFmtId="39" fontId="14" fillId="0" borderId="0" xfId="0" applyFont="1"/>
    <xf numFmtId="39" fontId="15" fillId="0" borderId="0" xfId="0" applyFont="1"/>
    <xf numFmtId="39" fontId="11" fillId="0" borderId="0" xfId="0" applyFont="1" applyAlignment="1">
      <alignment horizontal="right"/>
    </xf>
    <xf numFmtId="39" fontId="16" fillId="0" borderId="0" xfId="0" applyFont="1" applyAlignment="1">
      <alignment horizontal="center"/>
    </xf>
    <xf numFmtId="39" fontId="17" fillId="0" borderId="15" xfId="0" applyFont="1" applyBorder="1" applyAlignment="1">
      <alignment horizontal="center" vertical="center"/>
    </xf>
    <xf numFmtId="39" fontId="17" fillId="0" borderId="15" xfId="0" applyFont="1" applyBorder="1" applyAlignment="1">
      <alignment horizontal="center"/>
    </xf>
    <xf numFmtId="39" fontId="14" fillId="0" borderId="16" xfId="0" applyFont="1" applyBorder="1" applyAlignment="1">
      <alignment horizontal="center" vertical="center" wrapText="1"/>
    </xf>
    <xf numFmtId="39" fontId="14" fillId="0" borderId="16" xfId="0" applyFont="1" applyBorder="1" applyAlignment="1">
      <alignment horizontal="center" vertical="center"/>
    </xf>
    <xf numFmtId="39" fontId="14" fillId="0" borderId="16" xfId="0" applyFont="1" applyBorder="1" applyAlignment="1">
      <alignment horizontal="center"/>
    </xf>
    <xf numFmtId="39" fontId="18" fillId="0" borderId="13" xfId="0" applyFont="1" applyBorder="1" applyAlignment="1">
      <alignment horizontal="center" vertical="center" wrapText="1"/>
    </xf>
    <xf numFmtId="39" fontId="18" fillId="0" borderId="13" xfId="0" applyFont="1" applyBorder="1" applyAlignment="1">
      <alignment horizontal="center" vertical="center"/>
    </xf>
    <xf numFmtId="39" fontId="18" fillId="0" borderId="13" xfId="0" applyFont="1" applyBorder="1" applyAlignment="1">
      <alignment horizontal="center"/>
    </xf>
    <xf numFmtId="39" fontId="19" fillId="0" borderId="15" xfId="0" applyFont="1" applyBorder="1"/>
    <xf numFmtId="39" fontId="20" fillId="0" borderId="15" xfId="0" applyFont="1" applyBorder="1"/>
    <xf numFmtId="43" fontId="19" fillId="0" borderId="15" xfId="1" applyFont="1" applyBorder="1"/>
    <xf numFmtId="165" fontId="20" fillId="0" borderId="15" xfId="0" applyNumberFormat="1" applyFont="1" applyBorder="1"/>
    <xf numFmtId="43" fontId="20" fillId="0" borderId="15" xfId="1" applyFont="1" applyBorder="1"/>
    <xf numFmtId="39" fontId="20" fillId="0" borderId="0" xfId="0" applyFont="1"/>
    <xf numFmtId="39" fontId="19" fillId="0" borderId="15" xfId="0" applyFont="1" applyBorder="1" applyAlignment="1">
      <alignment horizontal="left" indent="2"/>
    </xf>
    <xf numFmtId="39" fontId="20" fillId="0" borderId="15" xfId="0" applyFont="1" applyBorder="1" applyAlignment="1">
      <alignment horizontal="left" indent="3"/>
    </xf>
    <xf numFmtId="39" fontId="20" fillId="0" borderId="15" xfId="0" applyFont="1" applyBorder="1" applyAlignment="1">
      <alignment horizontal="left" indent="4"/>
    </xf>
    <xf numFmtId="39" fontId="20" fillId="0" borderId="15" xfId="0" applyFont="1" applyBorder="1" applyAlignment="1">
      <alignment horizontal="center"/>
    </xf>
    <xf numFmtId="43" fontId="20" fillId="0" borderId="16" xfId="1" applyFont="1" applyBorder="1"/>
    <xf numFmtId="39" fontId="21" fillId="0" borderId="15" xfId="0" applyFont="1" applyBorder="1" applyAlignment="1">
      <alignment horizontal="left" indent="5"/>
    </xf>
    <xf numFmtId="43" fontId="21" fillId="0" borderId="15" xfId="1" applyFont="1" applyBorder="1"/>
    <xf numFmtId="39" fontId="22" fillId="2" borderId="15" xfId="0" applyFont="1" applyFill="1" applyBorder="1"/>
    <xf numFmtId="39" fontId="21" fillId="0" borderId="15" xfId="0" applyFont="1" applyBorder="1" applyAlignment="1">
      <alignment horizontal="left" indent="7"/>
    </xf>
    <xf numFmtId="39" fontId="21" fillId="0" borderId="16" xfId="0" applyFont="1" applyBorder="1" applyAlignment="1">
      <alignment horizontal="left" indent="5"/>
    </xf>
    <xf numFmtId="39" fontId="20" fillId="0" borderId="16" xfId="0" applyFont="1" applyBorder="1" applyAlignment="1">
      <alignment horizontal="center"/>
    </xf>
    <xf numFmtId="43" fontId="21" fillId="0" borderId="16" xfId="1" applyFont="1" applyBorder="1"/>
    <xf numFmtId="39" fontId="21" fillId="0" borderId="13" xfId="0" applyFont="1" applyBorder="1" applyAlignment="1">
      <alignment horizontal="left" indent="5"/>
    </xf>
    <xf numFmtId="39" fontId="20" fillId="0" borderId="13" xfId="0" applyFont="1" applyBorder="1" applyAlignment="1">
      <alignment horizontal="center"/>
    </xf>
    <xf numFmtId="43" fontId="21" fillId="0" borderId="14" xfId="1" applyFont="1" applyBorder="1"/>
    <xf numFmtId="39" fontId="20" fillId="0" borderId="15" xfId="0" applyFont="1" applyBorder="1" applyAlignment="1">
      <alignment horizontal="left" indent="7"/>
    </xf>
    <xf numFmtId="39" fontId="19" fillId="0" borderId="15" xfId="0" applyFont="1" applyBorder="1" applyAlignment="1">
      <alignment horizontal="left" indent="3"/>
    </xf>
    <xf numFmtId="43" fontId="19" fillId="0" borderId="14" xfId="1" applyFont="1" applyBorder="1"/>
    <xf numFmtId="39" fontId="20" fillId="0" borderId="15" xfId="0" applyFont="1" applyBorder="1" applyAlignment="1">
      <alignment horizontal="left" indent="8"/>
    </xf>
    <xf numFmtId="39" fontId="20" fillId="0" borderId="16" xfId="0" applyFont="1" applyBorder="1" applyAlignment="1">
      <alignment horizontal="left" indent="8"/>
    </xf>
    <xf numFmtId="39" fontId="20" fillId="0" borderId="16" xfId="0" applyFont="1" applyBorder="1"/>
    <xf numFmtId="39" fontId="20" fillId="0" borderId="13" xfId="0" applyFont="1" applyBorder="1" applyAlignment="1">
      <alignment horizontal="left" indent="7"/>
    </xf>
    <xf numFmtId="39" fontId="20" fillId="0" borderId="13" xfId="0" applyFont="1" applyBorder="1"/>
    <xf numFmtId="43" fontId="21" fillId="0" borderId="13" xfId="1" applyFont="1" applyBorder="1"/>
    <xf numFmtId="43" fontId="20" fillId="0" borderId="13" xfId="1" applyFont="1" applyBorder="1"/>
    <xf numFmtId="39" fontId="20" fillId="0" borderId="15" xfId="0" quotePrefix="1" applyFont="1" applyBorder="1" applyAlignment="1">
      <alignment horizontal="left" indent="8"/>
    </xf>
    <xf numFmtId="43" fontId="20" fillId="2" borderId="15" xfId="1" applyNumberFormat="1" applyFont="1" applyFill="1" applyBorder="1"/>
    <xf numFmtId="39" fontId="20" fillId="0" borderId="15" xfId="0" quotePrefix="1" applyFont="1" applyBorder="1" applyAlignment="1">
      <alignment horizontal="left" indent="7"/>
    </xf>
    <xf numFmtId="43" fontId="21" fillId="0" borderId="15" xfId="1" applyFont="1" applyFill="1" applyBorder="1"/>
    <xf numFmtId="43" fontId="21" fillId="0" borderId="15" xfId="1" applyNumberFormat="1" applyFont="1" applyBorder="1"/>
    <xf numFmtId="43" fontId="21" fillId="0" borderId="15" xfId="1" applyNumberFormat="1" applyFont="1" applyFill="1" applyBorder="1"/>
    <xf numFmtId="39" fontId="19" fillId="0" borderId="16" xfId="0" applyFont="1" applyBorder="1" applyAlignment="1">
      <alignment horizontal="left" indent="3"/>
    </xf>
    <xf numFmtId="39" fontId="19" fillId="0" borderId="13" xfId="0" applyFont="1" applyBorder="1" applyAlignment="1">
      <alignment horizontal="left" indent="2"/>
    </xf>
    <xf numFmtId="39" fontId="20" fillId="0" borderId="15" xfId="0" applyFont="1" applyBorder="1" applyAlignment="1">
      <alignment horizontal="left" indent="6"/>
    </xf>
    <xf numFmtId="39" fontId="21" fillId="0" borderId="15" xfId="0" applyFont="1" applyBorder="1" applyAlignment="1">
      <alignment horizontal="left" indent="4"/>
    </xf>
    <xf numFmtId="43" fontId="20" fillId="0" borderId="14" xfId="1" applyFont="1" applyBorder="1"/>
    <xf numFmtId="43" fontId="19" fillId="0" borderId="17" xfId="1" applyFont="1" applyBorder="1"/>
    <xf numFmtId="39" fontId="20" fillId="0" borderId="16" xfId="0" applyFont="1" applyBorder="1" applyAlignment="1">
      <alignment horizontal="left" indent="3"/>
    </xf>
    <xf numFmtId="39" fontId="20" fillId="0" borderId="13" xfId="0" applyFont="1" applyBorder="1" applyAlignment="1">
      <alignment horizontal="left" indent="3"/>
    </xf>
    <xf numFmtId="39" fontId="20" fillId="2" borderId="15" xfId="0" applyFont="1" applyFill="1" applyBorder="1" applyAlignment="1">
      <alignment horizontal="left" indent="3"/>
    </xf>
    <xf numFmtId="39" fontId="20" fillId="0" borderId="0" xfId="0" applyFont="1" applyBorder="1"/>
    <xf numFmtId="43" fontId="15" fillId="0" borderId="0" xfId="1" applyFont="1"/>
    <xf numFmtId="39" fontId="19" fillId="0" borderId="16" xfId="0" applyFont="1" applyBorder="1" applyAlignment="1">
      <alignment horizontal="left" indent="2"/>
    </xf>
    <xf numFmtId="43" fontId="20" fillId="0" borderId="0" xfId="0" applyNumberFormat="1" applyFont="1"/>
    <xf numFmtId="39" fontId="20" fillId="2" borderId="15" xfId="0" applyFont="1" applyFill="1" applyBorder="1" applyAlignment="1">
      <alignment horizontal="center"/>
    </xf>
    <xf numFmtId="39" fontId="20" fillId="0" borderId="15" xfId="0" applyFont="1" applyBorder="1" applyAlignment="1">
      <alignment horizontal="left" indent="5"/>
    </xf>
    <xf numFmtId="43" fontId="20" fillId="0" borderId="15" xfId="1" applyFont="1" applyFill="1" applyBorder="1"/>
    <xf numFmtId="43" fontId="19" fillId="0" borderId="18" xfId="1" applyFont="1" applyBorder="1"/>
    <xf numFmtId="39" fontId="19" fillId="0" borderId="16" xfId="0" applyFont="1" applyBorder="1"/>
    <xf numFmtId="43" fontId="19" fillId="0" borderId="16" xfId="1" applyFont="1" applyBorder="1"/>
    <xf numFmtId="39" fontId="14" fillId="0" borderId="0" xfId="0" applyFont="1" applyAlignment="1">
      <alignment horizontal="left" indent="4"/>
    </xf>
    <xf numFmtId="39" fontId="20" fillId="0" borderId="0" xfId="0" applyFont="1" applyAlignment="1">
      <alignment horizontal="left" indent="5"/>
    </xf>
    <xf numFmtId="39" fontId="6" fillId="0" borderId="0" xfId="2" applyNumberFormat="1" applyFont="1" applyFill="1" applyBorder="1" applyAlignment="1" applyProtection="1">
      <alignment vertical="center"/>
    </xf>
    <xf numFmtId="39" fontId="10" fillId="0" borderId="0" xfId="2" applyNumberFormat="1" applyFont="1" applyFill="1" applyBorder="1" applyAlignment="1" applyProtection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top"/>
    </xf>
    <xf numFmtId="39" fontId="2" fillId="0" borderId="1" xfId="0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39" fontId="6" fillId="0" borderId="0" xfId="0" applyFont="1" applyFill="1" applyBorder="1" applyAlignment="1" applyProtection="1">
      <alignment horizontal="left" vertical="center" wrapText="1" indent="2"/>
    </xf>
    <xf numFmtId="39" fontId="3" fillId="0" borderId="0" xfId="0" applyFont="1" applyFill="1" applyAlignment="1" applyProtection="1">
      <alignment horizontal="center"/>
    </xf>
    <xf numFmtId="39" fontId="1" fillId="0" borderId="0" xfId="0" applyFont="1" applyFill="1" applyAlignment="1">
      <alignment horizontal="center"/>
    </xf>
    <xf numFmtId="39" fontId="2" fillId="0" borderId="0" xfId="0" applyFont="1" applyFill="1" applyAlignment="1">
      <alignment horizontal="center"/>
    </xf>
    <xf numFmtId="39" fontId="2" fillId="0" borderId="4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wrapText="1" indent="2"/>
    </xf>
    <xf numFmtId="43" fontId="2" fillId="0" borderId="0" xfId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39" fontId="6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 indent="1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39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>
      <alignment horizontal="center" vertical="center"/>
    </xf>
    <xf numFmtId="39" fontId="10" fillId="0" borderId="0" xfId="2" applyNumberFormat="1" applyFont="1" applyFill="1" applyBorder="1" applyAlignment="1" applyProtection="1">
      <alignment horizontal="center" vertical="center"/>
    </xf>
    <xf numFmtId="39" fontId="16" fillId="0" borderId="0" xfId="0" applyFont="1" applyAlignment="1">
      <alignment horizontal="center" vertical="center"/>
    </xf>
    <xf numFmtId="39" fontId="17" fillId="0" borderId="13" xfId="0" applyFont="1" applyBorder="1" applyAlignment="1">
      <alignment horizontal="center" vertical="center" wrapText="1"/>
    </xf>
    <xf numFmtId="39" fontId="17" fillId="0" borderId="15" xfId="0" applyFont="1" applyBorder="1" applyAlignment="1">
      <alignment horizontal="center" vertical="center" wrapText="1"/>
    </xf>
    <xf numFmtId="39" fontId="17" fillId="0" borderId="14" xfId="0" applyFont="1" applyBorder="1" applyAlignment="1">
      <alignment horizontal="center"/>
    </xf>
    <xf numFmtId="39" fontId="17" fillId="0" borderId="15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LVIE'S%20FILE/152GPSA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winkle/AB%202017/LEP%202017%20FINAL/LEP%202017%20-%201031%20ADMI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Computer/Desktop/Gizsbols/Appropriation%20&amp;%20Obligation%20as%20of%20June%2030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PS"/>
      <sheetName val="STAT &amp; CONT. OBLIG."/>
      <sheetName val="1141"/>
      <sheetName val="1131"/>
      <sheetName val="1111"/>
      <sheetName val="1101"/>
      <sheetName val="1091"/>
      <sheetName val="1081"/>
      <sheetName val="1061"/>
      <sheetName val="1032"/>
      <sheetName val="1022"/>
      <sheetName val="1021"/>
      <sheetName val="1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1-LEP 2016"/>
    </sheetNames>
    <sheetDataSet>
      <sheetData sheetId="0">
        <row r="184">
          <cell r="N184">
            <v>26443318.43</v>
          </cell>
        </row>
        <row r="193">
          <cell r="N193">
            <v>3170387.67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priation 1"/>
      <sheetName val="Expenditures"/>
      <sheetName val="Appropriation"/>
      <sheetName val="Expenditures 2019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5.bin"/><Relationship Id="rId1" Type="http://schemas.openxmlformats.org/officeDocument/2006/relationships/printerSettings" Target="../printerSettings/printerSettings104.bin"/><Relationship Id="rId6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6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6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4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9.bin"/><Relationship Id="rId1" Type="http://schemas.openxmlformats.org/officeDocument/2006/relationships/printerSettings" Target="../printerSettings/printerSettings148.bin"/><Relationship Id="rId6" Type="http://schemas.openxmlformats.org/officeDocument/2006/relationships/printerSettings" Target="../printerSettings/printerSettings153.bin"/><Relationship Id="rId5" Type="http://schemas.openxmlformats.org/officeDocument/2006/relationships/printerSettings" Target="../printerSettings/printerSettings152.bin"/><Relationship Id="rId4" Type="http://schemas.openxmlformats.org/officeDocument/2006/relationships/printerSettings" Target="../printerSettings/printerSettings151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6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9.bin"/><Relationship Id="rId4" Type="http://schemas.openxmlformats.org/officeDocument/2006/relationships/printerSettings" Target="../printerSettings/printerSettings16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74.bin"/><Relationship Id="rId4" Type="http://schemas.openxmlformats.org/officeDocument/2006/relationships/printerSettings" Target="../printerSettings/printerSettings17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4"/>
  <sheetViews>
    <sheetView view="pageBreakPreview" zoomScaleNormal="100" zoomScaleSheetLayoutView="100" workbookViewId="0">
      <pane xSplit="1" ySplit="14" topLeftCell="B63" activePane="bottomRight" state="frozen"/>
      <selection pane="topRight" activeCell="B1" sqref="B1"/>
      <selection pane="bottomLeft" activeCell="A15" sqref="A15"/>
      <selection pane="bottomRight" activeCell="R72" sqref="R7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212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212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211"/>
      <c r="B12" s="211"/>
      <c r="C12" s="211"/>
      <c r="D12" s="9"/>
      <c r="E12" s="211"/>
      <c r="F12" s="211"/>
      <c r="G12" s="211"/>
      <c r="H12" s="21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213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36">
        <v>26185403.309999999</v>
      </c>
      <c r="K16" s="13"/>
      <c r="L16" s="36">
        <v>11952456.52</v>
      </c>
      <c r="M16" s="36"/>
      <c r="N16" s="36">
        <f>P16-L16</f>
        <v>18811908.18</v>
      </c>
      <c r="O16" s="36"/>
      <c r="P16" s="36">
        <v>30764364.699999999</v>
      </c>
      <c r="Q16" s="36"/>
      <c r="R16" s="185">
        <v>31991494.920000002</v>
      </c>
    </row>
    <row r="17" spans="1:18" s="7" customFormat="1" ht="12.75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6">
        <v>94039173.590000004</v>
      </c>
      <c r="K17" s="39"/>
      <c r="L17" s="36">
        <v>43824070.850000001</v>
      </c>
      <c r="M17" s="36"/>
      <c r="N17" s="36">
        <f t="shared" ref="N17:N34" si="0">P17-L17</f>
        <v>119081398.41</v>
      </c>
      <c r="O17" s="36"/>
      <c r="P17" s="36">
        <v>162905469.25999999</v>
      </c>
      <c r="Q17" s="36"/>
      <c r="R17" s="185">
        <v>125952108</v>
      </c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36">
        <v>16430647.119999999</v>
      </c>
      <c r="K18" s="13"/>
      <c r="L18" s="36">
        <v>7586931.9199999999</v>
      </c>
      <c r="M18" s="36"/>
      <c r="N18" s="36">
        <f t="shared" si="0"/>
        <v>18741068.079999998</v>
      </c>
      <c r="O18" s="36"/>
      <c r="P18" s="36">
        <v>26328000</v>
      </c>
      <c r="Q18" s="36"/>
      <c r="R18" s="185">
        <v>20184000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36">
        <v>199500</v>
      </c>
      <c r="K19" s="13"/>
      <c r="L19" s="36">
        <v>33000</v>
      </c>
      <c r="M19" s="36"/>
      <c r="N19" s="36">
        <f t="shared" si="0"/>
        <v>99000</v>
      </c>
      <c r="O19" s="36"/>
      <c r="P19" s="36">
        <v>132000</v>
      </c>
      <c r="Q19" s="36"/>
      <c r="R19" s="185">
        <v>132000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36">
        <v>67500</v>
      </c>
      <c r="K20" s="13"/>
      <c r="L20" s="36"/>
      <c r="M20" s="36"/>
      <c r="N20" s="36"/>
      <c r="O20" s="36"/>
      <c r="P20" s="36"/>
      <c r="Q20" s="36"/>
      <c r="R20" s="36"/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36">
        <v>354000</v>
      </c>
      <c r="K21" s="13"/>
      <c r="L21" s="36">
        <v>258000</v>
      </c>
      <c r="M21" s="36"/>
      <c r="N21" s="36">
        <f t="shared" si="0"/>
        <v>198000</v>
      </c>
      <c r="O21" s="36"/>
      <c r="P21" s="36">
        <v>456000</v>
      </c>
      <c r="Q21" s="36"/>
      <c r="R21" s="185">
        <v>456000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36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customHeight="1" x14ac:dyDescent="0.2">
      <c r="A23" s="86" t="s">
        <v>18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19</v>
      </c>
      <c r="J23" s="36"/>
      <c r="K23" s="13"/>
      <c r="L23" s="36"/>
      <c r="M23" s="36"/>
      <c r="N23" s="36">
        <f t="shared" si="0"/>
        <v>86625</v>
      </c>
      <c r="O23" s="36"/>
      <c r="P23" s="36">
        <v>86625</v>
      </c>
      <c r="Q23" s="36"/>
      <c r="R23" s="185">
        <v>86625</v>
      </c>
    </row>
    <row r="24" spans="1:18" s="7" customFormat="1" ht="12.75" customHeight="1" x14ac:dyDescent="0.2">
      <c r="A24" s="86" t="s">
        <v>22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>
        <v>110</v>
      </c>
      <c r="J24" s="36"/>
      <c r="K24" s="13"/>
      <c r="L24" s="36">
        <v>687500</v>
      </c>
      <c r="M24" s="36"/>
      <c r="N24" s="36">
        <f t="shared" si="0"/>
        <v>488500</v>
      </c>
      <c r="O24" s="36"/>
      <c r="P24" s="36">
        <v>1176000</v>
      </c>
      <c r="Q24" s="36"/>
      <c r="R24" s="36"/>
    </row>
    <row r="25" spans="1:18" s="7" customFormat="1" ht="12.75" customHeight="1" x14ac:dyDescent="0.2">
      <c r="A25" s="86" t="s">
        <v>23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24</v>
      </c>
      <c r="J25" s="36">
        <v>1306051.97</v>
      </c>
      <c r="K25" s="36"/>
      <c r="L25" s="36">
        <v>300472.28999999998</v>
      </c>
      <c r="M25" s="36"/>
      <c r="N25" s="36">
        <f t="shared" si="0"/>
        <v>2353693.09</v>
      </c>
      <c r="O25" s="36"/>
      <c r="P25" s="36">
        <v>2654165.38</v>
      </c>
      <c r="Q25" s="36"/>
      <c r="R25" s="36">
        <v>5000000</v>
      </c>
    </row>
    <row r="26" spans="1:18" s="7" customFormat="1" ht="12.75" customHeight="1" x14ac:dyDescent="0.2">
      <c r="A26" s="86" t="s">
        <v>27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28</v>
      </c>
      <c r="J26" s="36">
        <v>9684630.6999999993</v>
      </c>
      <c r="K26" s="36"/>
      <c r="L26" s="36"/>
      <c r="M26" s="36"/>
      <c r="N26" s="36">
        <f>P26-L26</f>
        <v>16510001</v>
      </c>
      <c r="O26" s="36"/>
      <c r="P26" s="36">
        <v>16510001</v>
      </c>
      <c r="Q26" s="36"/>
      <c r="R26" s="185">
        <v>13165732</v>
      </c>
    </row>
    <row r="27" spans="1:18" s="7" customFormat="1" ht="12.75" customHeight="1" x14ac:dyDescent="0.2">
      <c r="A27" s="86" t="s">
        <v>25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26</v>
      </c>
      <c r="J27" s="36">
        <v>3340750</v>
      </c>
      <c r="K27" s="36"/>
      <c r="L27" s="36"/>
      <c r="M27" s="36"/>
      <c r="N27" s="36">
        <f t="shared" si="0"/>
        <v>5485000</v>
      </c>
      <c r="O27" s="36"/>
      <c r="P27" s="36">
        <v>5485000</v>
      </c>
      <c r="Q27" s="36"/>
      <c r="R27" s="185">
        <v>4205000</v>
      </c>
    </row>
    <row r="28" spans="1:18" s="7" customFormat="1" ht="12.75" customHeight="1" x14ac:dyDescent="0.2">
      <c r="A28" s="86" t="s">
        <v>140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49</v>
      </c>
      <c r="J28" s="36">
        <v>9643396</v>
      </c>
      <c r="K28" s="13"/>
      <c r="L28" s="36">
        <v>9438952</v>
      </c>
      <c r="M28" s="36"/>
      <c r="N28" s="36">
        <f>P28-L28</f>
        <v>6339881.3300000001</v>
      </c>
      <c r="O28" s="36"/>
      <c r="P28" s="36">
        <v>15778833.33</v>
      </c>
      <c r="Q28" s="36"/>
      <c r="R28" s="185">
        <v>13165732</v>
      </c>
    </row>
    <row r="29" spans="1:18" s="7" customFormat="1" ht="12.75" customHeight="1" x14ac:dyDescent="0.2">
      <c r="A29" s="86" t="s">
        <v>263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8</v>
      </c>
      <c r="J29" s="36">
        <v>14094188.800000001</v>
      </c>
      <c r="K29" s="36"/>
      <c r="L29" s="36">
        <v>7008023.5199999996</v>
      </c>
      <c r="M29" s="36"/>
      <c r="N29" s="36">
        <f t="shared" si="0"/>
        <v>16259663.52</v>
      </c>
      <c r="O29" s="36"/>
      <c r="P29" s="36">
        <v>23267687.039999999</v>
      </c>
      <c r="Q29" s="36"/>
      <c r="R29" s="185">
        <v>18958654.079999998</v>
      </c>
    </row>
    <row r="30" spans="1:18" s="7" customFormat="1" ht="12.75" customHeight="1" x14ac:dyDescent="0.2">
      <c r="A30" s="86" t="s">
        <v>30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10</v>
      </c>
      <c r="J30" s="36">
        <v>817700</v>
      </c>
      <c r="K30" s="36"/>
      <c r="L30" s="36">
        <v>409000</v>
      </c>
      <c r="M30" s="36"/>
      <c r="N30" s="36">
        <f t="shared" si="0"/>
        <v>907400</v>
      </c>
      <c r="O30" s="36"/>
      <c r="P30" s="36">
        <v>1316400</v>
      </c>
      <c r="Q30" s="36"/>
      <c r="R30" s="185">
        <v>1009200</v>
      </c>
    </row>
    <row r="31" spans="1:18" s="7" customFormat="1" ht="12.75" customHeight="1" x14ac:dyDescent="0.2">
      <c r="A31" s="86" t="s">
        <v>31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15</v>
      </c>
      <c r="J31" s="36">
        <v>1598780.63</v>
      </c>
      <c r="K31" s="36"/>
      <c r="L31" s="36">
        <v>888399.39</v>
      </c>
      <c r="M31" s="36"/>
      <c r="N31" s="36">
        <f t="shared" si="0"/>
        <v>2064082.4699999997</v>
      </c>
      <c r="O31" s="36"/>
      <c r="P31" s="36">
        <v>2952481.86</v>
      </c>
      <c r="Q31" s="36"/>
      <c r="R31" s="185">
        <v>2736491.73</v>
      </c>
    </row>
    <row r="32" spans="1:18" s="7" customFormat="1" ht="12.75" customHeight="1" x14ac:dyDescent="0.2">
      <c r="A32" s="86" t="s">
        <v>32</v>
      </c>
      <c r="B32" s="111"/>
      <c r="C32" s="111"/>
      <c r="D32" s="112"/>
      <c r="E32" s="112">
        <v>5</v>
      </c>
      <c r="F32" s="113" t="s">
        <v>7</v>
      </c>
      <c r="G32" s="112" t="s">
        <v>29</v>
      </c>
      <c r="H32" s="112" t="s">
        <v>17</v>
      </c>
      <c r="J32" s="36">
        <v>815877.98</v>
      </c>
      <c r="K32" s="36"/>
      <c r="L32" s="36">
        <v>408304.21</v>
      </c>
      <c r="M32" s="36"/>
      <c r="N32" s="36">
        <f t="shared" si="0"/>
        <v>908095.79</v>
      </c>
      <c r="O32" s="36"/>
      <c r="P32" s="36">
        <v>1316400</v>
      </c>
      <c r="Q32" s="36"/>
      <c r="R32" s="185">
        <v>1009200</v>
      </c>
    </row>
    <row r="33" spans="1:18" s="7" customFormat="1" ht="12.75" customHeight="1" x14ac:dyDescent="0.2">
      <c r="A33" s="86" t="s">
        <v>33</v>
      </c>
      <c r="B33" s="111"/>
      <c r="C33" s="111"/>
      <c r="D33" s="112"/>
      <c r="E33" s="112">
        <v>5</v>
      </c>
      <c r="F33" s="113" t="s">
        <v>7</v>
      </c>
      <c r="G33" s="112" t="s">
        <v>34</v>
      </c>
      <c r="H33" s="112" t="s">
        <v>15</v>
      </c>
      <c r="J33" s="36">
        <v>1615742.69</v>
      </c>
      <c r="K33" s="36"/>
      <c r="L33" s="36">
        <v>2149713.77</v>
      </c>
      <c r="M33" s="36"/>
      <c r="N33" s="36">
        <f t="shared" si="0"/>
        <v>1201524.8199999998</v>
      </c>
      <c r="O33" s="36"/>
      <c r="P33" s="36">
        <v>3351238.59</v>
      </c>
      <c r="Q33" s="36"/>
      <c r="R33" s="185">
        <v>255214.92</v>
      </c>
    </row>
    <row r="34" spans="1:18" s="7" customFormat="1" ht="12.75" customHeight="1" x14ac:dyDescent="0.2">
      <c r="A34" s="86" t="s">
        <v>35</v>
      </c>
      <c r="B34" s="111"/>
      <c r="C34" s="111"/>
      <c r="D34" s="112"/>
      <c r="E34" s="112">
        <v>5</v>
      </c>
      <c r="F34" s="113" t="s">
        <v>7</v>
      </c>
      <c r="G34" s="112" t="s">
        <v>34</v>
      </c>
      <c r="H34" s="112" t="s">
        <v>49</v>
      </c>
      <c r="J34" s="36">
        <v>3744692.56</v>
      </c>
      <c r="K34" s="36"/>
      <c r="L34" s="36"/>
      <c r="M34" s="36"/>
      <c r="N34" s="36">
        <f t="shared" si="0"/>
        <v>5770000</v>
      </c>
      <c r="O34" s="36"/>
      <c r="P34" s="36">
        <v>5770000</v>
      </c>
      <c r="Q34" s="36"/>
      <c r="R34" s="186">
        <v>4205000</v>
      </c>
    </row>
    <row r="35" spans="1:18" s="7" customFormat="1" ht="18.75" customHeight="1" x14ac:dyDescent="0.2">
      <c r="A35" s="102" t="s">
        <v>36</v>
      </c>
      <c r="B35" s="26"/>
      <c r="C35" s="26"/>
      <c r="J35" s="161">
        <f>SUM(J16:J34)</f>
        <v>183938035.34999999</v>
      </c>
      <c r="K35" s="162"/>
      <c r="L35" s="161">
        <f>SUM(L16:L34)</f>
        <v>84944824.469999999</v>
      </c>
      <c r="M35" s="36"/>
      <c r="N35" s="161">
        <f>SUM(N16:N34)</f>
        <v>215305841.69000003</v>
      </c>
      <c r="O35" s="36"/>
      <c r="P35" s="161">
        <f>SUM(P16:P34)</f>
        <v>300250666.15999997</v>
      </c>
      <c r="Q35" s="36"/>
      <c r="R35" s="161">
        <f>SUM(R16:R34)</f>
        <v>242512452.64999998</v>
      </c>
    </row>
    <row r="36" spans="1:18" s="7" customFormat="1" ht="12.75" customHeight="1" x14ac:dyDescent="0.2">
      <c r="A36" s="17"/>
      <c r="B36" s="17"/>
      <c r="C36" s="17"/>
      <c r="J36" s="162"/>
      <c r="K36" s="162"/>
      <c r="L36" s="36"/>
      <c r="M36" s="36"/>
      <c r="N36" s="36"/>
      <c r="O36" s="36"/>
      <c r="P36" s="36"/>
      <c r="Q36" s="36"/>
      <c r="R36" s="36"/>
    </row>
    <row r="37" spans="1:18" s="7" customFormat="1" ht="12.75" customHeight="1" x14ac:dyDescent="0.2">
      <c r="A37" s="68" t="s">
        <v>188</v>
      </c>
      <c r="B37" s="12"/>
      <c r="C37" s="12"/>
      <c r="J37" s="36"/>
      <c r="K37" s="36"/>
      <c r="L37" s="36"/>
      <c r="M37" s="36"/>
      <c r="N37" s="36"/>
      <c r="O37" s="36"/>
      <c r="P37" s="36"/>
      <c r="Q37" s="36"/>
      <c r="R37" s="36"/>
    </row>
    <row r="38" spans="1:18" s="7" customFormat="1" ht="12.75" customHeight="1" x14ac:dyDescent="0.2">
      <c r="A38" s="86" t="s">
        <v>37</v>
      </c>
      <c r="B38" s="111"/>
      <c r="C38" s="111"/>
      <c r="D38" s="112"/>
      <c r="E38" s="112">
        <v>5</v>
      </c>
      <c r="F38" s="113" t="s">
        <v>12</v>
      </c>
      <c r="G38" s="112" t="s">
        <v>7</v>
      </c>
      <c r="H38" s="112" t="s">
        <v>8</v>
      </c>
      <c r="J38" s="36">
        <v>57658</v>
      </c>
      <c r="K38" s="36"/>
      <c r="L38" s="36"/>
      <c r="M38" s="36"/>
      <c r="N38" s="36">
        <f t="shared" ref="N38:N69" si="1">P38-L38</f>
        <v>930200</v>
      </c>
      <c r="O38" s="36"/>
      <c r="P38" s="36">
        <v>930200</v>
      </c>
      <c r="Q38" s="36"/>
      <c r="R38" s="187">
        <v>930200</v>
      </c>
    </row>
    <row r="39" spans="1:18" s="7" customFormat="1" ht="12.75" customHeight="1" x14ac:dyDescent="0.2">
      <c r="A39" s="86" t="s">
        <v>38</v>
      </c>
      <c r="B39" s="111"/>
      <c r="C39" s="111"/>
      <c r="E39" s="112">
        <v>5</v>
      </c>
      <c r="F39" s="113" t="s">
        <v>12</v>
      </c>
      <c r="G39" s="112" t="s">
        <v>7</v>
      </c>
      <c r="H39" s="112" t="s">
        <v>10</v>
      </c>
      <c r="J39" s="36"/>
      <c r="K39" s="36"/>
      <c r="L39" s="36"/>
      <c r="M39" s="36"/>
      <c r="N39" s="36">
        <f t="shared" si="1"/>
        <v>1000000</v>
      </c>
      <c r="O39" s="36"/>
      <c r="P39" s="36">
        <v>1000000</v>
      </c>
      <c r="Q39" s="36"/>
      <c r="R39" s="185">
        <v>1000000</v>
      </c>
    </row>
    <row r="40" spans="1:18" s="7" customFormat="1" ht="12.75" customHeight="1" x14ac:dyDescent="0.2">
      <c r="A40" s="86" t="s">
        <v>39</v>
      </c>
      <c r="B40" s="111"/>
      <c r="C40" s="111"/>
      <c r="E40" s="112">
        <v>5</v>
      </c>
      <c r="F40" s="113" t="s">
        <v>12</v>
      </c>
      <c r="G40" s="112" t="s">
        <v>12</v>
      </c>
      <c r="H40" s="112" t="s">
        <v>8</v>
      </c>
      <c r="J40" s="36">
        <v>31422</v>
      </c>
      <c r="K40" s="36"/>
      <c r="L40" s="36"/>
      <c r="M40" s="36"/>
      <c r="N40" s="36">
        <f t="shared" si="1"/>
        <v>2900000</v>
      </c>
      <c r="O40" s="36"/>
      <c r="P40" s="36">
        <v>2900000</v>
      </c>
      <c r="Q40" s="36"/>
      <c r="R40" s="187">
        <v>2900000</v>
      </c>
    </row>
    <row r="41" spans="1:18" s="7" customFormat="1" ht="12.75" customHeight="1" x14ac:dyDescent="0.2">
      <c r="A41" s="86" t="s">
        <v>142</v>
      </c>
      <c r="B41" s="111"/>
      <c r="C41" s="111"/>
      <c r="D41" s="112"/>
      <c r="E41" s="112">
        <v>5</v>
      </c>
      <c r="F41" s="113" t="s">
        <v>12</v>
      </c>
      <c r="G41" s="112" t="s">
        <v>12</v>
      </c>
      <c r="H41" s="112" t="s">
        <v>10</v>
      </c>
      <c r="J41" s="36">
        <v>6138500</v>
      </c>
      <c r="K41" s="36"/>
      <c r="L41" s="36"/>
      <c r="M41" s="36"/>
      <c r="N41" s="36">
        <f t="shared" si="1"/>
        <v>26000000</v>
      </c>
      <c r="O41" s="36"/>
      <c r="P41" s="36">
        <v>26000000</v>
      </c>
      <c r="Q41" s="36"/>
      <c r="R41" s="187">
        <v>33000000</v>
      </c>
    </row>
    <row r="42" spans="1:18" s="7" customFormat="1" ht="12.75" customHeight="1" x14ac:dyDescent="0.2">
      <c r="A42" s="86" t="s">
        <v>40</v>
      </c>
      <c r="B42" s="111"/>
      <c r="C42" s="111"/>
      <c r="D42" s="112"/>
      <c r="E42" s="112">
        <v>5</v>
      </c>
      <c r="F42" s="113" t="s">
        <v>12</v>
      </c>
      <c r="G42" s="112" t="s">
        <v>29</v>
      </c>
      <c r="H42" s="112" t="s">
        <v>8</v>
      </c>
      <c r="J42" s="36">
        <v>1091365.75</v>
      </c>
      <c r="K42" s="36"/>
      <c r="L42" s="36">
        <v>309296</v>
      </c>
      <c r="M42" s="36"/>
      <c r="N42" s="36">
        <f t="shared" si="1"/>
        <v>3590704</v>
      </c>
      <c r="O42" s="36"/>
      <c r="P42" s="36">
        <v>3900000</v>
      </c>
      <c r="Q42" s="36"/>
      <c r="R42" s="187">
        <v>2400000</v>
      </c>
    </row>
    <row r="43" spans="1:18" s="7" customFormat="1" ht="12.75" customHeight="1" x14ac:dyDescent="0.2">
      <c r="A43" s="86" t="s">
        <v>88</v>
      </c>
      <c r="B43" s="111"/>
      <c r="C43" s="111"/>
      <c r="E43" s="112">
        <v>5</v>
      </c>
      <c r="F43" s="113" t="s">
        <v>12</v>
      </c>
      <c r="G43" s="112" t="s">
        <v>29</v>
      </c>
      <c r="H43" s="112" t="s">
        <v>60</v>
      </c>
      <c r="J43" s="36"/>
      <c r="K43" s="36"/>
      <c r="L43" s="36"/>
      <c r="M43" s="36"/>
      <c r="N43" s="36">
        <f t="shared" si="1"/>
        <v>4000000</v>
      </c>
      <c r="O43" s="36"/>
      <c r="P43" s="36">
        <v>4000000</v>
      </c>
      <c r="Q43" s="36"/>
      <c r="R43" s="187">
        <v>4000000</v>
      </c>
    </row>
    <row r="44" spans="1:18" s="7" customFormat="1" ht="12.75" customHeight="1" x14ac:dyDescent="0.2">
      <c r="A44" s="86" t="s">
        <v>44</v>
      </c>
      <c r="B44" s="111"/>
      <c r="C44" s="111"/>
      <c r="D44" s="112"/>
      <c r="E44" s="112">
        <v>5</v>
      </c>
      <c r="F44" s="113" t="s">
        <v>12</v>
      </c>
      <c r="G44" s="112" t="s">
        <v>29</v>
      </c>
      <c r="H44" s="112" t="s">
        <v>45</v>
      </c>
      <c r="J44" s="36">
        <v>4524432.5599999996</v>
      </c>
      <c r="K44" s="39"/>
      <c r="L44" s="36">
        <v>1143078.1599999999</v>
      </c>
      <c r="M44" s="36"/>
      <c r="N44" s="36">
        <f t="shared" si="1"/>
        <v>9078921.8399999999</v>
      </c>
      <c r="O44" s="36"/>
      <c r="P44" s="36">
        <v>10222000</v>
      </c>
      <c r="Q44" s="36"/>
      <c r="R44" s="187">
        <v>9752000</v>
      </c>
    </row>
    <row r="45" spans="1:18" s="7" customFormat="1" ht="12.75" customHeight="1" x14ac:dyDescent="0.2">
      <c r="A45" s="86" t="s">
        <v>46</v>
      </c>
      <c r="B45" s="111"/>
      <c r="C45" s="111"/>
      <c r="D45" s="112"/>
      <c r="E45" s="112">
        <v>5</v>
      </c>
      <c r="F45" s="113" t="s">
        <v>12</v>
      </c>
      <c r="G45" s="112" t="s">
        <v>29</v>
      </c>
      <c r="H45" s="112" t="s">
        <v>47</v>
      </c>
      <c r="J45" s="36"/>
      <c r="K45" s="36"/>
      <c r="L45" s="36"/>
      <c r="M45" s="36"/>
      <c r="N45" s="36">
        <f t="shared" si="1"/>
        <v>4000000</v>
      </c>
      <c r="O45" s="36"/>
      <c r="P45" s="36">
        <v>4000000</v>
      </c>
      <c r="Q45" s="36"/>
      <c r="R45" s="187">
        <v>4000000</v>
      </c>
    </row>
    <row r="46" spans="1:18" s="7" customFormat="1" ht="12.75" customHeight="1" x14ac:dyDescent="0.2">
      <c r="A46" s="86" t="s">
        <v>48</v>
      </c>
      <c r="B46" s="111"/>
      <c r="C46" s="111"/>
      <c r="E46" s="112">
        <v>5</v>
      </c>
      <c r="F46" s="113" t="s">
        <v>12</v>
      </c>
      <c r="G46" s="112" t="s">
        <v>29</v>
      </c>
      <c r="H46" s="114" t="s">
        <v>49</v>
      </c>
      <c r="J46" s="36">
        <v>3510883</v>
      </c>
      <c r="K46" s="36"/>
      <c r="L46" s="36"/>
      <c r="M46" s="36"/>
      <c r="N46" s="36">
        <f t="shared" si="1"/>
        <v>9931500</v>
      </c>
      <c r="O46" s="36"/>
      <c r="P46" s="36">
        <v>9931500</v>
      </c>
      <c r="Q46" s="36"/>
      <c r="R46" s="187">
        <v>11781500</v>
      </c>
    </row>
    <row r="47" spans="1:18" s="7" customFormat="1" ht="12.75" customHeight="1" x14ac:dyDescent="0.2">
      <c r="A47" s="86" t="s">
        <v>53</v>
      </c>
      <c r="B47" s="111"/>
      <c r="C47" s="111"/>
      <c r="E47" s="112">
        <v>5</v>
      </c>
      <c r="F47" s="113" t="s">
        <v>12</v>
      </c>
      <c r="G47" s="112" t="s">
        <v>54</v>
      </c>
      <c r="H47" s="112" t="s">
        <v>8</v>
      </c>
      <c r="J47" s="36"/>
      <c r="K47" s="36"/>
      <c r="L47" s="36"/>
      <c r="M47" s="36"/>
      <c r="N47" s="36">
        <f t="shared" si="1"/>
        <v>60800</v>
      </c>
      <c r="O47" s="36"/>
      <c r="P47" s="36">
        <v>60800</v>
      </c>
      <c r="Q47" s="36"/>
      <c r="R47" s="187">
        <v>62800</v>
      </c>
    </row>
    <row r="48" spans="1:18" s="7" customFormat="1" ht="12.75" customHeight="1" x14ac:dyDescent="0.2">
      <c r="A48" s="86" t="s">
        <v>55</v>
      </c>
      <c r="B48" s="111"/>
      <c r="C48" s="111"/>
      <c r="E48" s="112">
        <v>5</v>
      </c>
      <c r="F48" s="113" t="s">
        <v>12</v>
      </c>
      <c r="G48" s="112" t="s">
        <v>54</v>
      </c>
      <c r="H48" s="112" t="s">
        <v>10</v>
      </c>
      <c r="J48" s="36">
        <v>117528.63</v>
      </c>
      <c r="K48" s="36"/>
      <c r="L48" s="36">
        <v>41559.49</v>
      </c>
      <c r="M48" s="36"/>
      <c r="N48" s="36">
        <f t="shared" si="1"/>
        <v>378440.51</v>
      </c>
      <c r="O48" s="36"/>
      <c r="P48" s="36">
        <v>420000</v>
      </c>
      <c r="Q48" s="36"/>
      <c r="R48" s="187">
        <v>466752</v>
      </c>
    </row>
    <row r="49" spans="1:18" s="7" customFormat="1" ht="12.75" customHeight="1" x14ac:dyDescent="0.2">
      <c r="A49" s="86" t="s">
        <v>56</v>
      </c>
      <c r="B49" s="111"/>
      <c r="C49" s="111"/>
      <c r="E49" s="112">
        <v>5</v>
      </c>
      <c r="F49" s="113" t="s">
        <v>12</v>
      </c>
      <c r="G49" s="112" t="s">
        <v>54</v>
      </c>
      <c r="H49" s="112" t="s">
        <v>15</v>
      </c>
      <c r="J49" s="36">
        <v>15667</v>
      </c>
      <c r="K49" s="36"/>
      <c r="L49" s="36"/>
      <c r="M49" s="36"/>
      <c r="N49" s="36">
        <f t="shared" si="1"/>
        <v>100000</v>
      </c>
      <c r="O49" s="36"/>
      <c r="P49" s="36">
        <v>100000</v>
      </c>
      <c r="Q49" s="36"/>
      <c r="R49" s="187">
        <v>100000</v>
      </c>
    </row>
    <row r="50" spans="1:18" s="7" customFormat="1" ht="12.75" customHeight="1" x14ac:dyDescent="0.2">
      <c r="A50" s="86" t="s">
        <v>57</v>
      </c>
      <c r="B50" s="111"/>
      <c r="C50" s="111"/>
      <c r="E50" s="112">
        <v>5</v>
      </c>
      <c r="F50" s="113" t="s">
        <v>12</v>
      </c>
      <c r="G50" s="112" t="s">
        <v>54</v>
      </c>
      <c r="H50" s="112" t="s">
        <v>17</v>
      </c>
      <c r="J50" s="36"/>
      <c r="K50" s="36"/>
      <c r="L50" s="36"/>
      <c r="M50" s="36"/>
      <c r="N50" s="36">
        <f t="shared" si="1"/>
        <v>50000</v>
      </c>
      <c r="O50" s="36"/>
      <c r="P50" s="36">
        <v>50000</v>
      </c>
      <c r="Q50" s="36"/>
      <c r="R50" s="36">
        <v>50000</v>
      </c>
    </row>
    <row r="51" spans="1:18" s="7" customFormat="1" ht="12.75" customHeight="1" x14ac:dyDescent="0.2">
      <c r="A51" s="86" t="s">
        <v>66</v>
      </c>
      <c r="B51" s="111"/>
      <c r="C51" s="111"/>
      <c r="E51" s="112">
        <v>5</v>
      </c>
      <c r="F51" s="113" t="s">
        <v>12</v>
      </c>
      <c r="G51" s="112" t="s">
        <v>67</v>
      </c>
      <c r="H51" s="112" t="s">
        <v>8</v>
      </c>
      <c r="J51" s="36"/>
      <c r="K51" s="36"/>
      <c r="L51" s="36"/>
      <c r="M51" s="36"/>
      <c r="N51" s="36">
        <f t="shared" si="1"/>
        <v>1000000</v>
      </c>
      <c r="O51" s="36"/>
      <c r="P51" s="36">
        <v>1000000</v>
      </c>
      <c r="Q51" s="36"/>
      <c r="R51" s="36">
        <v>1000000</v>
      </c>
    </row>
    <row r="52" spans="1:18" s="7" customFormat="1" ht="12.75" customHeight="1" x14ac:dyDescent="0.2">
      <c r="A52" s="86" t="s">
        <v>68</v>
      </c>
      <c r="B52" s="111"/>
      <c r="C52" s="111"/>
      <c r="E52" s="112">
        <v>5</v>
      </c>
      <c r="F52" s="113" t="s">
        <v>12</v>
      </c>
      <c r="G52" s="112" t="s">
        <v>67</v>
      </c>
      <c r="H52" s="112" t="s">
        <v>10</v>
      </c>
      <c r="J52" s="36">
        <v>10587500</v>
      </c>
      <c r="K52" s="36"/>
      <c r="L52" s="36">
        <v>300000</v>
      </c>
      <c r="M52" s="36"/>
      <c r="N52" s="36">
        <f>P52-L52</f>
        <v>26200000</v>
      </c>
      <c r="O52" s="36"/>
      <c r="P52" s="36">
        <v>26500000</v>
      </c>
      <c r="Q52" s="36"/>
      <c r="R52" s="36">
        <v>26500000</v>
      </c>
    </row>
    <row r="53" spans="1:18" s="7" customFormat="1" ht="12.75" customHeight="1" x14ac:dyDescent="0.2">
      <c r="A53" s="86" t="s">
        <v>83</v>
      </c>
      <c r="B53" s="111"/>
      <c r="C53" s="111"/>
      <c r="E53" s="112">
        <v>5</v>
      </c>
      <c r="F53" s="113" t="s">
        <v>12</v>
      </c>
      <c r="G53" s="112" t="s">
        <v>84</v>
      </c>
      <c r="H53" s="113" t="s">
        <v>8</v>
      </c>
      <c r="J53" s="36">
        <v>77000000</v>
      </c>
      <c r="K53" s="36"/>
      <c r="L53" s="36">
        <v>33000000</v>
      </c>
      <c r="M53" s="36"/>
      <c r="N53" s="36">
        <f>P53-L53</f>
        <v>45000000</v>
      </c>
      <c r="O53" s="36"/>
      <c r="P53" s="36">
        <v>78000000</v>
      </c>
      <c r="Q53" s="36"/>
      <c r="R53" s="187">
        <v>80000000</v>
      </c>
    </row>
    <row r="54" spans="1:18" s="7" customFormat="1" ht="12.75" customHeight="1" x14ac:dyDescent="0.2">
      <c r="A54" s="86" t="s">
        <v>86</v>
      </c>
      <c r="B54" s="111"/>
      <c r="C54" s="111"/>
      <c r="E54" s="112">
        <v>5</v>
      </c>
      <c r="F54" s="113" t="s">
        <v>12</v>
      </c>
      <c r="G54" s="112" t="s">
        <v>84</v>
      </c>
      <c r="H54" s="113" t="s">
        <v>15</v>
      </c>
      <c r="J54" s="36">
        <v>5686074.6399999997</v>
      </c>
      <c r="K54" s="36"/>
      <c r="L54" s="36"/>
      <c r="M54" s="36"/>
      <c r="N54" s="36">
        <f>P54-L54</f>
        <v>6715883.3600000003</v>
      </c>
      <c r="O54" s="36"/>
      <c r="P54" s="36">
        <v>6715883.3600000003</v>
      </c>
      <c r="Q54" s="36"/>
      <c r="R54" s="187">
        <v>7210690</v>
      </c>
    </row>
    <row r="55" spans="1:18" s="7" customFormat="1" ht="12.75" customHeight="1" x14ac:dyDescent="0.2">
      <c r="A55" s="86" t="s">
        <v>69</v>
      </c>
      <c r="B55" s="111"/>
      <c r="C55" s="111"/>
      <c r="E55" s="112">
        <v>5</v>
      </c>
      <c r="F55" s="113" t="s">
        <v>12</v>
      </c>
      <c r="G55" s="112" t="s">
        <v>70</v>
      </c>
      <c r="H55" s="112" t="s">
        <v>15</v>
      </c>
      <c r="J55" s="36">
        <v>1223624.06</v>
      </c>
      <c r="K55" s="36"/>
      <c r="L55" s="36">
        <v>318123</v>
      </c>
      <c r="M55" s="36"/>
      <c r="N55" s="36">
        <f t="shared" si="1"/>
        <v>2008533</v>
      </c>
      <c r="O55" s="36"/>
      <c r="P55" s="36">
        <v>2326656</v>
      </c>
      <c r="Q55" s="36"/>
      <c r="R55" s="187">
        <v>1517688</v>
      </c>
    </row>
    <row r="56" spans="1:18" s="7" customFormat="1" ht="12.75" customHeight="1" x14ac:dyDescent="0.2">
      <c r="A56" s="86" t="s">
        <v>72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49</v>
      </c>
      <c r="J56" s="36">
        <v>5159000</v>
      </c>
      <c r="K56" s="36"/>
      <c r="L56" s="36">
        <v>60000</v>
      </c>
      <c r="M56" s="36"/>
      <c r="N56" s="36">
        <f t="shared" si="1"/>
        <v>6027000</v>
      </c>
      <c r="O56" s="36"/>
      <c r="P56" s="36">
        <v>6087000</v>
      </c>
      <c r="Q56" s="36"/>
      <c r="R56" s="187">
        <v>6024000</v>
      </c>
    </row>
    <row r="57" spans="1:18" s="7" customFormat="1" ht="12.75" customHeight="1" x14ac:dyDescent="0.2">
      <c r="A57" s="86" t="s">
        <v>73</v>
      </c>
      <c r="B57" s="111"/>
      <c r="C57" s="111"/>
      <c r="E57" s="112">
        <v>5</v>
      </c>
      <c r="F57" s="113" t="s">
        <v>12</v>
      </c>
      <c r="G57" s="112" t="s">
        <v>74</v>
      </c>
      <c r="H57" s="112" t="s">
        <v>64</v>
      </c>
      <c r="J57" s="36">
        <v>67317</v>
      </c>
      <c r="K57" s="36"/>
      <c r="L57" s="36"/>
      <c r="M57" s="36"/>
      <c r="N57" s="36">
        <f t="shared" si="1"/>
        <v>1000000</v>
      </c>
      <c r="O57" s="36"/>
      <c r="P57" s="36">
        <v>1000000</v>
      </c>
      <c r="Q57" s="36"/>
      <c r="R57" s="187">
        <v>1000000</v>
      </c>
    </row>
    <row r="58" spans="1:18" s="7" customFormat="1" ht="12.75" hidden="1" customHeight="1" x14ac:dyDescent="0.2">
      <c r="A58" s="86" t="s">
        <v>75</v>
      </c>
      <c r="B58" s="111"/>
      <c r="C58" s="111"/>
      <c r="E58" s="112">
        <v>5</v>
      </c>
      <c r="F58" s="113" t="s">
        <v>12</v>
      </c>
      <c r="G58" s="112" t="s">
        <v>74</v>
      </c>
      <c r="H58" s="112" t="s">
        <v>19</v>
      </c>
      <c r="J58" s="36">
        <v>0</v>
      </c>
      <c r="K58" s="36"/>
      <c r="L58" s="36"/>
      <c r="M58" s="36"/>
      <c r="N58" s="36">
        <f t="shared" si="1"/>
        <v>0</v>
      </c>
      <c r="O58" s="36"/>
      <c r="P58" s="36"/>
      <c r="Q58" s="36"/>
      <c r="R58" s="36">
        <v>0</v>
      </c>
    </row>
    <row r="59" spans="1:18" s="7" customFormat="1" ht="12.75" hidden="1" customHeight="1" x14ac:dyDescent="0.2">
      <c r="A59" s="86" t="s">
        <v>77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49</v>
      </c>
      <c r="J59" s="36">
        <v>0</v>
      </c>
      <c r="K59" s="36"/>
      <c r="L59" s="36"/>
      <c r="M59" s="36"/>
      <c r="N59" s="36">
        <f t="shared" si="1"/>
        <v>0</v>
      </c>
      <c r="O59" s="36"/>
      <c r="P59" s="36"/>
      <c r="Q59" s="36"/>
      <c r="R59" s="36">
        <v>0</v>
      </c>
    </row>
    <row r="60" spans="1:18" s="7" customFormat="1" ht="12.75" customHeight="1" x14ac:dyDescent="0.2">
      <c r="A60" s="86" t="s">
        <v>78</v>
      </c>
      <c r="B60" s="111"/>
      <c r="C60" s="111"/>
      <c r="E60" s="112">
        <v>5</v>
      </c>
      <c r="F60" s="113" t="s">
        <v>12</v>
      </c>
      <c r="G60" s="112" t="s">
        <v>79</v>
      </c>
      <c r="H60" s="112" t="s">
        <v>10</v>
      </c>
      <c r="J60" s="36">
        <v>269022.43</v>
      </c>
      <c r="K60" s="36"/>
      <c r="L60" s="36">
        <v>283065.64</v>
      </c>
      <c r="M60" s="36"/>
      <c r="N60" s="36">
        <f t="shared" si="1"/>
        <v>36166934.359999999</v>
      </c>
      <c r="O60" s="36"/>
      <c r="P60" s="36">
        <v>36450000</v>
      </c>
      <c r="Q60" s="36"/>
      <c r="R60" s="187">
        <v>27600000</v>
      </c>
    </row>
    <row r="61" spans="1:18" s="7" customFormat="1" ht="12.75" customHeight="1" x14ac:dyDescent="0.2">
      <c r="A61" s="86" t="s">
        <v>80</v>
      </c>
      <c r="B61" s="111"/>
      <c r="C61" s="111"/>
      <c r="E61" s="112">
        <v>5</v>
      </c>
      <c r="F61" s="113" t="s">
        <v>12</v>
      </c>
      <c r="G61" s="112" t="s">
        <v>79</v>
      </c>
      <c r="H61" s="112" t="s">
        <v>15</v>
      </c>
      <c r="J61" s="36">
        <v>113711324</v>
      </c>
      <c r="K61" s="36"/>
      <c r="L61" s="36">
        <v>100276500</v>
      </c>
      <c r="M61" s="36"/>
      <c r="N61" s="36">
        <f t="shared" si="1"/>
        <v>235873500</v>
      </c>
      <c r="O61" s="36"/>
      <c r="P61" s="36">
        <v>336150000</v>
      </c>
      <c r="Q61" s="36"/>
      <c r="R61" s="187">
        <v>348231000</v>
      </c>
    </row>
    <row r="62" spans="1:18" s="7" customFormat="1" ht="12.75" customHeight="1" x14ac:dyDescent="0.2">
      <c r="A62" s="86" t="s">
        <v>61</v>
      </c>
      <c r="B62" s="111"/>
      <c r="C62" s="111"/>
      <c r="E62" s="112">
        <v>5</v>
      </c>
      <c r="F62" s="113" t="s">
        <v>12</v>
      </c>
      <c r="G62" s="112" t="s">
        <v>59</v>
      </c>
      <c r="H62" s="112" t="s">
        <v>8</v>
      </c>
      <c r="J62" s="36"/>
      <c r="K62" s="36"/>
      <c r="L62" s="36"/>
      <c r="M62" s="36"/>
      <c r="N62" s="36">
        <f>P62-L62</f>
        <v>1000000</v>
      </c>
      <c r="O62" s="36"/>
      <c r="P62" s="36">
        <v>1000000</v>
      </c>
      <c r="Q62" s="36"/>
      <c r="R62" s="187">
        <v>1000000</v>
      </c>
    </row>
    <row r="63" spans="1:18" s="7" customFormat="1" ht="12.75" customHeight="1" x14ac:dyDescent="0.2">
      <c r="A63" s="86" t="s">
        <v>62</v>
      </c>
      <c r="B63" s="111"/>
      <c r="C63" s="111"/>
      <c r="E63" s="112">
        <v>5</v>
      </c>
      <c r="F63" s="113" t="s">
        <v>12</v>
      </c>
      <c r="G63" s="112" t="s">
        <v>59</v>
      </c>
      <c r="H63" s="112" t="s">
        <v>10</v>
      </c>
      <c r="J63" s="36"/>
      <c r="K63" s="36"/>
      <c r="L63" s="36"/>
      <c r="M63" s="36"/>
      <c r="N63" s="36">
        <f>P63-L63</f>
        <v>1500000</v>
      </c>
      <c r="O63" s="36"/>
      <c r="P63" s="36">
        <v>1500000</v>
      </c>
      <c r="Q63" s="36"/>
      <c r="R63" s="187">
        <v>1200000</v>
      </c>
    </row>
    <row r="64" spans="1:18" s="7" customFormat="1" ht="12.75" customHeight="1" x14ac:dyDescent="0.2">
      <c r="A64" s="86" t="s">
        <v>156</v>
      </c>
      <c r="B64" s="111"/>
      <c r="C64" s="111"/>
      <c r="E64" s="112">
        <v>5</v>
      </c>
      <c r="F64" s="113" t="s">
        <v>12</v>
      </c>
      <c r="G64" s="114" t="s">
        <v>59</v>
      </c>
      <c r="H64" s="128" t="s">
        <v>17</v>
      </c>
      <c r="J64" s="36"/>
      <c r="K64" s="36"/>
      <c r="L64" s="36"/>
      <c r="M64" s="36"/>
      <c r="N64" s="36">
        <f>P64-L64</f>
        <v>300000</v>
      </c>
      <c r="O64" s="36"/>
      <c r="P64" s="36">
        <v>300000</v>
      </c>
      <c r="Q64" s="36"/>
      <c r="R64" s="187">
        <v>300000</v>
      </c>
    </row>
    <row r="65" spans="1:18" s="7" customFormat="1" ht="12.75" customHeight="1" x14ac:dyDescent="0.2">
      <c r="A65" s="86" t="s">
        <v>63</v>
      </c>
      <c r="B65" s="111"/>
      <c r="C65" s="111"/>
      <c r="E65" s="112">
        <v>5</v>
      </c>
      <c r="F65" s="113" t="s">
        <v>12</v>
      </c>
      <c r="G65" s="112" t="s">
        <v>59</v>
      </c>
      <c r="H65" s="112" t="s">
        <v>64</v>
      </c>
      <c r="J65" s="36"/>
      <c r="K65" s="36"/>
      <c r="L65" s="36">
        <v>806000</v>
      </c>
      <c r="M65" s="36"/>
      <c r="N65" s="36">
        <f>P65-L65</f>
        <v>194000</v>
      </c>
      <c r="O65" s="36"/>
      <c r="P65" s="36">
        <v>1000000</v>
      </c>
      <c r="Q65" s="36"/>
      <c r="R65" s="187">
        <v>1000000</v>
      </c>
    </row>
    <row r="66" spans="1:18" s="7" customFormat="1" ht="12.75" customHeight="1" x14ac:dyDescent="0.2">
      <c r="A66" s="86" t="s">
        <v>312</v>
      </c>
      <c r="B66" s="111"/>
      <c r="C66" s="111"/>
      <c r="E66" s="112">
        <v>5</v>
      </c>
      <c r="F66" s="113" t="s">
        <v>12</v>
      </c>
      <c r="G66" s="114" t="s">
        <v>59</v>
      </c>
      <c r="H66" s="128" t="s">
        <v>60</v>
      </c>
      <c r="J66" s="36">
        <v>431000</v>
      </c>
      <c r="K66" s="36"/>
      <c r="L66" s="36">
        <v>500000</v>
      </c>
      <c r="M66" s="36"/>
      <c r="N66" s="36"/>
      <c r="O66" s="36"/>
      <c r="P66" s="36">
        <v>2500000</v>
      </c>
      <c r="Q66" s="36"/>
      <c r="R66" s="187">
        <v>1000000</v>
      </c>
    </row>
    <row r="67" spans="1:18" s="7" customFormat="1" ht="12.75" customHeight="1" x14ac:dyDescent="0.2">
      <c r="A67" s="86" t="s">
        <v>65</v>
      </c>
      <c r="B67" s="111"/>
      <c r="C67" s="111"/>
      <c r="E67" s="112">
        <v>5</v>
      </c>
      <c r="F67" s="113" t="s">
        <v>12</v>
      </c>
      <c r="G67" s="112" t="s">
        <v>59</v>
      </c>
      <c r="H67" s="112" t="s">
        <v>19</v>
      </c>
      <c r="J67" s="36"/>
      <c r="K67" s="36"/>
      <c r="L67" s="36"/>
      <c r="M67" s="36"/>
      <c r="N67" s="36">
        <f>P67-L67</f>
        <v>150000</v>
      </c>
      <c r="O67" s="36"/>
      <c r="P67" s="36">
        <v>150000</v>
      </c>
      <c r="Q67" s="36"/>
      <c r="R67" s="187">
        <v>150000</v>
      </c>
    </row>
    <row r="68" spans="1:18" s="7" customFormat="1" ht="12.75" customHeight="1" x14ac:dyDescent="0.2">
      <c r="A68" s="86" t="s">
        <v>81</v>
      </c>
      <c r="B68" s="111"/>
      <c r="C68" s="111"/>
      <c r="E68" s="112">
        <v>5</v>
      </c>
      <c r="F68" s="113" t="s">
        <v>12</v>
      </c>
      <c r="G68" s="112" t="s">
        <v>59</v>
      </c>
      <c r="H68" s="113" t="s">
        <v>82</v>
      </c>
      <c r="J68" s="36">
        <v>111396812.2</v>
      </c>
      <c r="K68" s="36"/>
      <c r="L68" s="36">
        <v>36084337.899999999</v>
      </c>
      <c r="M68" s="36"/>
      <c r="N68" s="36">
        <f t="shared" ref="N68" si="2">P68-L68</f>
        <v>292625662.10000002</v>
      </c>
      <c r="O68" s="36"/>
      <c r="P68" s="36">
        <v>328710000</v>
      </c>
      <c r="Q68" s="36"/>
      <c r="R68" s="187">
        <v>318460000</v>
      </c>
    </row>
    <row r="69" spans="1:18" s="7" customFormat="1" ht="12.75" customHeight="1" x14ac:dyDescent="0.2">
      <c r="A69" s="86" t="s">
        <v>260</v>
      </c>
      <c r="B69" s="111"/>
      <c r="C69" s="111"/>
      <c r="E69" s="112">
        <v>5</v>
      </c>
      <c r="F69" s="113" t="s">
        <v>12</v>
      </c>
      <c r="G69" s="134">
        <v>99</v>
      </c>
      <c r="H69" s="135">
        <v>990</v>
      </c>
      <c r="J69" s="36">
        <v>104436065.65000001</v>
      </c>
      <c r="K69" s="36"/>
      <c r="L69" s="36">
        <v>47920106.560000002</v>
      </c>
      <c r="M69" s="36"/>
      <c r="N69" s="36">
        <f t="shared" si="1"/>
        <v>195553118.63999999</v>
      </c>
      <c r="O69" s="36"/>
      <c r="P69" s="36">
        <v>243473225.19999999</v>
      </c>
      <c r="Q69" s="36"/>
      <c r="R69" s="188">
        <v>98205064.400000006</v>
      </c>
    </row>
    <row r="70" spans="1:18" s="7" customFormat="1" ht="18" customHeight="1" x14ac:dyDescent="0.2">
      <c r="A70" s="314" t="s">
        <v>191</v>
      </c>
      <c r="B70" s="314"/>
      <c r="C70" s="314"/>
      <c r="J70" s="161">
        <f>SUM(J38:J69)</f>
        <v>445455196.91999996</v>
      </c>
      <c r="K70" s="162"/>
      <c r="L70" s="161">
        <f>SUM(L38:L69)</f>
        <v>221042066.75</v>
      </c>
      <c r="M70" s="36"/>
      <c r="N70" s="161">
        <f>SUM(N38:N69)</f>
        <v>913335197.81000006</v>
      </c>
      <c r="O70" s="36"/>
      <c r="P70" s="161">
        <f>SUM(P38:P69)</f>
        <v>1136377264.5599999</v>
      </c>
      <c r="Q70" s="36"/>
      <c r="R70" s="161">
        <f>SUM(R38:R69)</f>
        <v>990841694.39999998</v>
      </c>
    </row>
    <row r="71" spans="1:18" s="7" customFormat="1" ht="12.75" customHeight="1" x14ac:dyDescent="0.2">
      <c r="A71" s="20"/>
      <c r="B71" s="20"/>
      <c r="C71" s="20"/>
      <c r="J71" s="162"/>
      <c r="K71" s="162"/>
      <c r="L71" s="36"/>
      <c r="M71" s="36"/>
      <c r="N71" s="36"/>
      <c r="O71" s="36"/>
      <c r="P71" s="36"/>
      <c r="Q71" s="36"/>
      <c r="R71" s="36"/>
    </row>
    <row r="72" spans="1:18" s="7" customFormat="1" ht="12.75" customHeight="1" x14ac:dyDescent="0.2">
      <c r="A72" s="68" t="s">
        <v>190</v>
      </c>
      <c r="B72" s="11"/>
      <c r="C72" s="11"/>
      <c r="J72" s="36"/>
      <c r="K72" s="36"/>
      <c r="L72" s="36"/>
      <c r="M72" s="36"/>
      <c r="N72" s="36"/>
      <c r="O72" s="36"/>
      <c r="P72" s="36"/>
      <c r="Q72" s="36"/>
      <c r="R72" s="36"/>
    </row>
    <row r="73" spans="1:18" s="7" customFormat="1" ht="12.75" hidden="1" customHeight="1" x14ac:dyDescent="0.2">
      <c r="A73" s="86" t="s">
        <v>92</v>
      </c>
      <c r="B73" s="111"/>
      <c r="C73" s="111"/>
      <c r="E73" s="112">
        <v>1</v>
      </c>
      <c r="F73" s="113" t="s">
        <v>93</v>
      </c>
      <c r="G73" s="112" t="s">
        <v>7</v>
      </c>
      <c r="H73" s="112" t="s">
        <v>8</v>
      </c>
      <c r="J73" s="36"/>
      <c r="K73" s="36"/>
      <c r="L73" s="36"/>
      <c r="M73" s="36"/>
      <c r="N73" s="36">
        <f t="shared" ref="N73:N82" si="3">P73-L73</f>
        <v>0</v>
      </c>
      <c r="O73" s="36"/>
      <c r="P73" s="36"/>
      <c r="Q73" s="36"/>
      <c r="R73" s="36">
        <v>0</v>
      </c>
    </row>
    <row r="74" spans="1:18" s="7" customFormat="1" ht="12.75" hidden="1" customHeight="1" x14ac:dyDescent="0.2">
      <c r="A74" s="86" t="s">
        <v>94</v>
      </c>
      <c r="B74" s="111"/>
      <c r="C74" s="111"/>
      <c r="E74" s="112">
        <v>1</v>
      </c>
      <c r="F74" s="113" t="s">
        <v>93</v>
      </c>
      <c r="G74" s="112" t="s">
        <v>34</v>
      </c>
      <c r="H74" s="112" t="s">
        <v>8</v>
      </c>
      <c r="J74" s="36"/>
      <c r="K74" s="36"/>
      <c r="L74" s="36"/>
      <c r="M74" s="36"/>
      <c r="N74" s="36">
        <f t="shared" si="3"/>
        <v>0</v>
      </c>
      <c r="O74" s="36"/>
      <c r="P74" s="36"/>
      <c r="Q74" s="36"/>
      <c r="R74" s="36"/>
    </row>
    <row r="75" spans="1:18" s="7" customFormat="1" ht="12.75" customHeight="1" x14ac:dyDescent="0.2">
      <c r="A75" s="86" t="s">
        <v>96</v>
      </c>
      <c r="B75" s="111"/>
      <c r="C75" s="111"/>
      <c r="E75" s="112">
        <v>1</v>
      </c>
      <c r="F75" s="113" t="s">
        <v>93</v>
      </c>
      <c r="G75" s="112" t="s">
        <v>54</v>
      </c>
      <c r="H75" s="114" t="s">
        <v>10</v>
      </c>
      <c r="J75" s="36"/>
      <c r="K75" s="36"/>
      <c r="L75" s="36"/>
      <c r="M75" s="36"/>
      <c r="N75" s="36">
        <f t="shared" si="3"/>
        <v>390000</v>
      </c>
      <c r="O75" s="36"/>
      <c r="P75" s="36">
        <v>390000</v>
      </c>
      <c r="Q75" s="36"/>
      <c r="R75" s="187">
        <v>180000</v>
      </c>
    </row>
    <row r="76" spans="1:18" s="7" customFormat="1" ht="12.75" customHeight="1" x14ac:dyDescent="0.2">
      <c r="A76" s="86" t="s">
        <v>98</v>
      </c>
      <c r="B76" s="116"/>
      <c r="C76" s="116"/>
      <c r="E76" s="112">
        <v>1</v>
      </c>
      <c r="F76" s="113" t="s">
        <v>93</v>
      </c>
      <c r="G76" s="112" t="s">
        <v>54</v>
      </c>
      <c r="H76" s="112" t="s">
        <v>15</v>
      </c>
      <c r="J76" s="36">
        <v>1173850</v>
      </c>
      <c r="K76" s="36"/>
      <c r="L76" s="36"/>
      <c r="M76" s="36"/>
      <c r="N76" s="36">
        <f t="shared" si="3"/>
        <v>5500000</v>
      </c>
      <c r="O76" s="36"/>
      <c r="P76" s="36">
        <v>5500000</v>
      </c>
      <c r="Q76" s="36"/>
      <c r="R76" s="187">
        <v>6300000</v>
      </c>
    </row>
    <row r="77" spans="1:18" s="7" customFormat="1" ht="12.75" hidden="1" customHeight="1" x14ac:dyDescent="0.2">
      <c r="A77" s="86" t="s">
        <v>100</v>
      </c>
      <c r="B77" s="111"/>
      <c r="C77" s="111"/>
      <c r="E77" s="112">
        <v>1</v>
      </c>
      <c r="F77" s="113" t="s">
        <v>93</v>
      </c>
      <c r="G77" s="112" t="s">
        <v>54</v>
      </c>
      <c r="H77" s="112" t="s">
        <v>19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>
        <v>0</v>
      </c>
    </row>
    <row r="78" spans="1:18" s="7" customFormat="1" ht="12.75" customHeight="1" x14ac:dyDescent="0.2">
      <c r="A78" s="86" t="s">
        <v>101</v>
      </c>
      <c r="B78" s="111"/>
      <c r="C78" s="111"/>
      <c r="E78" s="112">
        <v>1</v>
      </c>
      <c r="F78" s="113" t="s">
        <v>93</v>
      </c>
      <c r="G78" s="112" t="s">
        <v>54</v>
      </c>
      <c r="H78" s="112" t="s">
        <v>102</v>
      </c>
      <c r="J78" s="36"/>
      <c r="K78" s="36"/>
      <c r="L78" s="36"/>
      <c r="M78" s="36"/>
      <c r="N78" s="36">
        <f t="shared" si="3"/>
        <v>3000000</v>
      </c>
      <c r="O78" s="36"/>
      <c r="P78" s="36">
        <v>3000000</v>
      </c>
      <c r="Q78" s="36"/>
      <c r="R78" s="187">
        <v>3000000</v>
      </c>
    </row>
    <row r="79" spans="1:18" s="7" customFormat="1" ht="12.75" customHeight="1" x14ac:dyDescent="0.2">
      <c r="A79" s="86" t="s">
        <v>105</v>
      </c>
      <c r="B79" s="111"/>
      <c r="C79" s="111"/>
      <c r="D79" s="113"/>
      <c r="E79" s="112">
        <v>1</v>
      </c>
      <c r="F79" s="113" t="s">
        <v>93</v>
      </c>
      <c r="G79" s="112" t="s">
        <v>54</v>
      </c>
      <c r="H79" s="114" t="s">
        <v>49</v>
      </c>
      <c r="J79" s="36"/>
      <c r="K79" s="36"/>
      <c r="L79" s="36"/>
      <c r="M79" s="36"/>
      <c r="N79" s="36">
        <f t="shared" si="3"/>
        <v>1900000</v>
      </c>
      <c r="O79" s="36"/>
      <c r="P79" s="36">
        <v>1900000</v>
      </c>
      <c r="Q79" s="36"/>
      <c r="R79" s="187">
        <v>400000</v>
      </c>
    </row>
    <row r="80" spans="1:18" s="7" customFormat="1" ht="12.75" customHeight="1" x14ac:dyDescent="0.2">
      <c r="A80" s="86" t="s">
        <v>106</v>
      </c>
      <c r="B80" s="111"/>
      <c r="C80" s="111"/>
      <c r="D80" s="113"/>
      <c r="E80" s="112">
        <v>1</v>
      </c>
      <c r="F80" s="113" t="s">
        <v>93</v>
      </c>
      <c r="G80" s="114" t="s">
        <v>67</v>
      </c>
      <c r="H80" s="114" t="s">
        <v>8</v>
      </c>
      <c r="J80" s="36">
        <v>8820000</v>
      </c>
      <c r="K80" s="36"/>
      <c r="L80" s="36"/>
      <c r="M80" s="36"/>
      <c r="N80" s="36">
        <f t="shared" si="3"/>
        <v>16000000</v>
      </c>
      <c r="O80" s="36"/>
      <c r="P80" s="36">
        <v>16000000</v>
      </c>
      <c r="Q80" s="36"/>
      <c r="R80" s="187">
        <v>16500000</v>
      </c>
    </row>
    <row r="81" spans="1:18" s="7" customFormat="1" ht="12.75" customHeight="1" x14ac:dyDescent="0.2">
      <c r="A81" s="86" t="s">
        <v>283</v>
      </c>
      <c r="B81" s="111"/>
      <c r="C81" s="111"/>
      <c r="D81" s="113"/>
      <c r="E81" s="112">
        <v>1</v>
      </c>
      <c r="F81" s="113" t="s">
        <v>93</v>
      </c>
      <c r="G81" s="114" t="s">
        <v>93</v>
      </c>
      <c r="H81" s="114" t="s">
        <v>8</v>
      </c>
      <c r="J81" s="36">
        <v>403000</v>
      </c>
      <c r="K81" s="36"/>
      <c r="L81" s="36"/>
      <c r="M81" s="36"/>
      <c r="N81" s="36">
        <f t="shared" si="3"/>
        <v>540000</v>
      </c>
      <c r="O81" s="36"/>
      <c r="P81" s="36">
        <v>540000</v>
      </c>
      <c r="Q81" s="36"/>
      <c r="R81" s="187">
        <v>1000000</v>
      </c>
    </row>
    <row r="82" spans="1:18" s="7" customFormat="1" ht="12.75" hidden="1" customHeight="1" x14ac:dyDescent="0.2">
      <c r="A82" s="86" t="s">
        <v>107</v>
      </c>
      <c r="B82" s="111"/>
      <c r="C82" s="111"/>
      <c r="D82" s="113"/>
      <c r="E82" s="112">
        <v>1</v>
      </c>
      <c r="F82" s="113" t="s">
        <v>93</v>
      </c>
      <c r="G82" s="112" t="s">
        <v>59</v>
      </c>
      <c r="H82" s="114" t="s">
        <v>49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>
        <v>0</v>
      </c>
    </row>
    <row r="83" spans="1:18" s="27" customFormat="1" ht="18.95" hidden="1" customHeight="1" x14ac:dyDescent="0.2">
      <c r="A83" s="86" t="s">
        <v>271</v>
      </c>
      <c r="B83" s="111"/>
      <c r="C83" s="111"/>
      <c r="D83" s="113"/>
      <c r="E83" s="112">
        <v>1</v>
      </c>
      <c r="F83" s="128" t="s">
        <v>272</v>
      </c>
      <c r="G83" s="114" t="s">
        <v>7</v>
      </c>
      <c r="H83" s="114" t="s">
        <v>10</v>
      </c>
      <c r="I83" s="7"/>
      <c r="J83" s="36"/>
      <c r="K83" s="36"/>
      <c r="L83" s="36"/>
      <c r="M83" s="36"/>
      <c r="N83" s="36">
        <f>P83-L83</f>
        <v>0</v>
      </c>
      <c r="O83" s="36"/>
      <c r="P83" s="36"/>
      <c r="Q83" s="36"/>
      <c r="R83" s="36">
        <v>0</v>
      </c>
    </row>
    <row r="84" spans="1:18" s="7" customFormat="1" ht="18" customHeight="1" x14ac:dyDescent="0.2">
      <c r="A84" s="102" t="s">
        <v>108</v>
      </c>
      <c r="B84" s="26"/>
      <c r="C84" s="26"/>
      <c r="D84" s="27"/>
      <c r="E84" s="27"/>
      <c r="F84" s="27"/>
      <c r="G84" s="27"/>
      <c r="H84" s="27"/>
      <c r="I84" s="27"/>
      <c r="J84" s="21">
        <f>SUM(J73:J83)</f>
        <v>10396850</v>
      </c>
      <c r="K84" s="23"/>
      <c r="L84" s="21">
        <f>SUM(L73:L79)</f>
        <v>0</v>
      </c>
      <c r="M84" s="27"/>
      <c r="N84" s="21">
        <f>SUM(N73:N83)</f>
        <v>27330000</v>
      </c>
      <c r="O84" s="27"/>
      <c r="P84" s="21">
        <f>SUM(P73:P83)</f>
        <v>27330000</v>
      </c>
      <c r="Q84" s="27"/>
      <c r="R84" s="21">
        <f>SUM(R73:R82)</f>
        <v>27380000</v>
      </c>
    </row>
    <row r="85" spans="1:18" s="7" customFormat="1" ht="6" customHeight="1" x14ac:dyDescent="0.2"/>
    <row r="86" spans="1:18" s="7" customFormat="1" ht="13.5" thickBot="1" x14ac:dyDescent="0.25">
      <c r="A86" s="11" t="s">
        <v>110</v>
      </c>
      <c r="B86" s="28"/>
      <c r="C86" s="28"/>
      <c r="J86" s="29">
        <f>J35+J70+J84</f>
        <v>639790082.26999998</v>
      </c>
      <c r="K86" s="23"/>
      <c r="L86" s="29">
        <f>L35+L70+L84</f>
        <v>305986891.22000003</v>
      </c>
      <c r="N86" s="29">
        <f>N35+N70+N84</f>
        <v>1155971039.5</v>
      </c>
      <c r="P86" s="29">
        <f>P35+P70+P84</f>
        <v>1463957930.7199998</v>
      </c>
      <c r="R86" s="29">
        <f>R35+R70+R84</f>
        <v>1260734147.05</v>
      </c>
    </row>
    <row r="87" spans="1:18" s="7" customFormat="1" ht="12.75" customHeight="1" thickTop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s="7" customFormat="1" ht="12.75" customHeight="1" x14ac:dyDescent="0.2">
      <c r="A88" s="31"/>
      <c r="B88" s="31"/>
      <c r="C88" s="31"/>
      <c r="D88" s="34"/>
      <c r="E88" s="31"/>
      <c r="F88" s="31"/>
      <c r="H88" s="35"/>
      <c r="I88" s="35"/>
      <c r="J88" s="35"/>
      <c r="K88" s="35"/>
      <c r="L88" s="35"/>
      <c r="M88" s="35"/>
    </row>
    <row r="89" spans="1:18" x14ac:dyDescent="0.2">
      <c r="A89" s="46"/>
      <c r="C89" s="213" t="s">
        <v>276</v>
      </c>
      <c r="D89" s="33"/>
      <c r="E89" s="32"/>
      <c r="G89" s="31"/>
      <c r="I89" s="31"/>
      <c r="M89" s="47"/>
      <c r="N89" s="311" t="s">
        <v>135</v>
      </c>
      <c r="O89" s="311"/>
      <c r="P89" s="311"/>
    </row>
    <row r="90" spans="1:18" ht="9.9499999999999993" customHeight="1" x14ac:dyDescent="0.2">
      <c r="A90" s="46"/>
      <c r="C90" s="213"/>
      <c r="D90" s="33"/>
      <c r="E90" s="32"/>
      <c r="G90" s="31"/>
      <c r="I90" s="31"/>
      <c r="M90" s="47"/>
      <c r="N90" s="210"/>
      <c r="O90" s="210"/>
      <c r="P90" s="210"/>
    </row>
    <row r="91" spans="1:18" x14ac:dyDescent="0.2">
      <c r="A91" s="50"/>
      <c r="C91" s="213"/>
      <c r="D91" s="33"/>
      <c r="E91" s="51"/>
      <c r="G91" s="31"/>
      <c r="I91" s="31"/>
      <c r="M91" s="213"/>
      <c r="N91" s="36"/>
      <c r="O91" s="36"/>
      <c r="P91" s="51"/>
    </row>
    <row r="92" spans="1:18" x14ac:dyDescent="0.2">
      <c r="A92" s="52"/>
      <c r="C92" s="31"/>
      <c r="D92" s="31"/>
      <c r="E92" s="53"/>
      <c r="G92" s="31"/>
      <c r="I92" s="31"/>
      <c r="M92" s="31"/>
      <c r="P92" s="53"/>
    </row>
    <row r="93" spans="1:18" x14ac:dyDescent="0.2">
      <c r="A93" s="54"/>
      <c r="C93" s="214" t="s">
        <v>291</v>
      </c>
      <c r="D93" s="55"/>
      <c r="E93" s="56"/>
      <c r="G93" s="31"/>
      <c r="I93" s="31"/>
      <c r="M93" s="57"/>
      <c r="N93" s="312" t="s">
        <v>137</v>
      </c>
      <c r="O93" s="312"/>
      <c r="P93" s="312"/>
    </row>
    <row r="94" spans="1:18" x14ac:dyDescent="0.2">
      <c r="A94" s="52"/>
      <c r="C94" s="213" t="s">
        <v>269</v>
      </c>
      <c r="D94" s="31"/>
      <c r="E94" s="32"/>
      <c r="G94" s="31"/>
      <c r="I94" s="31"/>
      <c r="M94" s="33"/>
      <c r="N94" s="313" t="s">
        <v>139</v>
      </c>
      <c r="O94" s="313"/>
      <c r="P94" s="313"/>
    </row>
  </sheetData>
  <mergeCells count="12">
    <mergeCell ref="A1:S1"/>
    <mergeCell ref="A2:S2"/>
    <mergeCell ref="L9:P9"/>
    <mergeCell ref="P10:P12"/>
    <mergeCell ref="A11:C11"/>
    <mergeCell ref="E11:H11"/>
    <mergeCell ref="A13:C13"/>
    <mergeCell ref="E13:H13"/>
    <mergeCell ref="N89:P89"/>
    <mergeCell ref="N93:P93"/>
    <mergeCell ref="N94:P94"/>
    <mergeCell ref="A70:C70"/>
  </mergeCells>
  <printOptions horizontalCentered="1"/>
  <pageMargins left="0.75" right="0.5" top="1" bottom="1" header="0.75" footer="0.5"/>
  <pageSetup paperSize="5" scale="90" orientation="landscape" horizontalDpi="4294967293" verticalDpi="300" r:id="rId1"/>
  <headerFooter alignWithMargins="0">
    <oddHeader xml:space="preserve">&amp;L&amp;"Arial,Regular"&amp;9               LBP Form No. 2&amp;R&amp;"Arial,Bold"&amp;10Annex E                       </oddHeader>
    <oddFooter>&amp;C&amp;10Page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61"/>
  <sheetViews>
    <sheetView view="pageBreakPreview" zoomScaleNormal="85" zoomScaleSheetLayoutView="100" workbookViewId="0">
      <pane xSplit="1" ySplit="13" topLeftCell="B29" activePane="bottomRight" state="frozen"/>
      <selection pane="topRight" activeCell="B1" sqref="B1"/>
      <selection pane="bottomLeft" activeCell="A14" sqref="A14"/>
      <selection pane="bottomRight" activeCell="F156" sqref="F1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21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77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215</v>
      </c>
    </row>
    <row r="6" spans="1:21" ht="15" customHeight="1" x14ac:dyDescent="0.2">
      <c r="A6" s="5" t="s">
        <v>120</v>
      </c>
      <c r="B6" s="2" t="s">
        <v>113</v>
      </c>
      <c r="C6" s="5" t="s">
        <v>199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317" t="s">
        <v>122</v>
      </c>
      <c r="M8" s="317"/>
      <c r="N8" s="317"/>
      <c r="O8" s="317"/>
      <c r="P8" s="317"/>
      <c r="Q8" s="149"/>
    </row>
    <row r="9" spans="1:21" ht="15" customHeight="1" x14ac:dyDescent="0.2">
      <c r="H9" s="8"/>
      <c r="I9" s="8"/>
      <c r="J9" s="8" t="s">
        <v>268</v>
      </c>
      <c r="K9" s="8" t="s">
        <v>281</v>
      </c>
      <c r="L9" s="62" t="s">
        <v>123</v>
      </c>
      <c r="M9" s="62"/>
      <c r="N9" s="62" t="s">
        <v>125</v>
      </c>
      <c r="O9" s="62"/>
      <c r="P9" s="318" t="s">
        <v>127</v>
      </c>
      <c r="Q9" s="45"/>
      <c r="R9" s="167" t="s">
        <v>132</v>
      </c>
    </row>
    <row r="10" spans="1:21" ht="15" customHeight="1" x14ac:dyDescent="0.2">
      <c r="A10" s="320" t="s">
        <v>186</v>
      </c>
      <c r="B10" s="320"/>
      <c r="C10" s="320"/>
      <c r="D10" s="9"/>
      <c r="E10" s="320" t="s">
        <v>112</v>
      </c>
      <c r="F10" s="320"/>
      <c r="G10" s="320"/>
      <c r="H10" s="320"/>
      <c r="I10" s="8"/>
      <c r="J10" s="87" t="s">
        <v>290</v>
      </c>
      <c r="K10" s="44"/>
      <c r="L10" s="44">
        <v>2020</v>
      </c>
      <c r="M10" s="44"/>
      <c r="N10" s="44">
        <v>2020</v>
      </c>
      <c r="O10" s="44"/>
      <c r="P10" s="319"/>
      <c r="Q10" s="45"/>
      <c r="R10" s="44">
        <v>2021</v>
      </c>
    </row>
    <row r="11" spans="1:21" ht="15" customHeight="1" x14ac:dyDescent="0.2">
      <c r="A11" s="148"/>
      <c r="B11" s="148"/>
      <c r="C11" s="148"/>
      <c r="D11" s="9"/>
      <c r="E11" s="148"/>
      <c r="F11" s="148"/>
      <c r="G11" s="148"/>
      <c r="H11" s="148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319"/>
      <c r="Q11" s="45"/>
      <c r="R11" s="168" t="s">
        <v>2</v>
      </c>
    </row>
    <row r="12" spans="1:21" ht="15" customHeight="1" x14ac:dyDescent="0.2">
      <c r="A12" s="309" t="s">
        <v>3</v>
      </c>
      <c r="B12" s="309"/>
      <c r="C12" s="309"/>
      <c r="D12" s="7"/>
      <c r="E12" s="310" t="s">
        <v>4</v>
      </c>
      <c r="F12" s="310"/>
      <c r="G12" s="310"/>
      <c r="H12" s="310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146">
        <v>566928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R16" s="146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146">
        <v>72000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  <c r="R18" s="146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  <c r="R19" s="146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146">
        <v>18000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  <c r="R21" s="146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  <c r="R22" s="146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R23" s="146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R24" s="146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R25" s="146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R26" s="146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R27" s="146"/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R28" s="146"/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146">
        <v>47244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146">
        <v>15000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146">
        <v>47244</v>
      </c>
    </row>
    <row r="32" spans="1:21" s="7" customFormat="1" ht="12.75" customHeight="1" x14ac:dyDescent="0.2">
      <c r="A32" s="66" t="s">
        <v>263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146">
        <v>68031.360000000001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146">
        <v>3600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146">
        <v>9921.24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146">
        <v>3600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R36" s="146"/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R37" s="146"/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R38" s="146"/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146">
        <v>15000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61">
        <f>SUM(J15:J40)</f>
        <v>0</v>
      </c>
      <c r="K41" s="162"/>
      <c r="L41" s="161">
        <f>SUM(L15:L40)</f>
        <v>0</v>
      </c>
      <c r="M41" s="36"/>
      <c r="N41" s="161">
        <f>SUM(N15:N40)</f>
        <v>0</v>
      </c>
      <c r="O41" s="36"/>
      <c r="P41" s="161">
        <f>SUM(P15:P40)</f>
        <v>0</v>
      </c>
      <c r="R41" s="22">
        <f>SUM(R15:R40)</f>
        <v>866568.6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146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R45" s="146"/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R46" s="146"/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R47" s="146"/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  <c r="R48" s="146"/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R49" s="146"/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R50" s="146"/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R51" s="146"/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R52" s="146"/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R53" s="146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R54" s="146"/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  <c r="R55" s="146">
        <v>90000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R56" s="146"/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R57" s="146"/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R58" s="146"/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R59" s="146"/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R60" s="146"/>
    </row>
    <row r="61" spans="1:21" s="7" customFormat="1" ht="12.75" hidden="1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146"/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R62" s="146"/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R63" s="146"/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R64" s="146"/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R65" s="146"/>
    </row>
    <row r="66" spans="1:1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R66" s="146"/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R67" s="146"/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R68" s="146"/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R69" s="146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R70" s="146"/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R71" s="146"/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R72" s="146"/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R73" s="146"/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R74" s="146"/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R75" s="146"/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R76" s="146"/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R77" s="146"/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R78" s="146"/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R79" s="146"/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R80" s="146"/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R81" s="146"/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R82" s="146"/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R83" s="146"/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R84" s="146"/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R85" s="146"/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R86" s="146"/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R87" s="146"/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R88" s="146"/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R89" s="146"/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R90" s="146"/>
    </row>
    <row r="91" spans="1:1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R91" s="146"/>
    </row>
    <row r="92" spans="1:1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R92" s="146"/>
    </row>
    <row r="93" spans="1:1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R93" s="146"/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R94" s="146"/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R95" s="146"/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R96" s="146"/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R97" s="146"/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R98" s="146"/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R99" s="146"/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R100" s="146"/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R101" s="146"/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R102" s="146"/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R103" s="146"/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R104" s="146"/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R105" s="146"/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R106" s="146"/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R107" s="146"/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R108" s="146"/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R109" s="146">
        <v>150000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R110" s="146"/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R111" s="146"/>
    </row>
    <row r="112" spans="1:18" s="7" customFormat="1" ht="12.75" customHeight="1" x14ac:dyDescent="0.2">
      <c r="A112" s="66" t="s">
        <v>260</v>
      </c>
      <c r="B112" s="40"/>
      <c r="C112" s="40"/>
      <c r="E112" s="14">
        <v>5</v>
      </c>
      <c r="F112" s="15" t="s">
        <v>12</v>
      </c>
      <c r="G112" s="80">
        <v>99</v>
      </c>
      <c r="H112" s="82">
        <v>990</v>
      </c>
      <c r="R112" s="146">
        <v>650000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SUM(J44:J112)</f>
        <v>0</v>
      </c>
      <c r="K113" s="162"/>
      <c r="L113" s="161">
        <f>SUM(L44:L112)</f>
        <v>0</v>
      </c>
      <c r="M113" s="36"/>
      <c r="N113" s="161">
        <f>SUM(N44:N112)</f>
        <v>0</v>
      </c>
      <c r="O113" s="36"/>
      <c r="P113" s="161">
        <f>SUM(P44:P112)</f>
        <v>0</v>
      </c>
      <c r="R113" s="22">
        <f>SUM(R44:R112)</f>
        <v>1015200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4" s="7" customFormat="1" ht="12.75" hidden="1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</row>
    <row r="130" spans="1:14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4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4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14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</row>
    <row r="134" spans="1:14" s="7" customFormat="1" ht="12.75" hidden="1" customHeight="1" x14ac:dyDescent="0.2">
      <c r="A134" s="66" t="s">
        <v>101</v>
      </c>
      <c r="B134" s="42"/>
      <c r="C134" s="42"/>
      <c r="E134" s="14">
        <v>1</v>
      </c>
      <c r="F134" s="83" t="s">
        <v>93</v>
      </c>
      <c r="G134" s="16" t="s">
        <v>54</v>
      </c>
      <c r="H134" s="84" t="s">
        <v>102</v>
      </c>
      <c r="N134" s="36"/>
    </row>
    <row r="135" spans="1:14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14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4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4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4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4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4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4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4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4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/>
      <c r="R146" s="146"/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0</v>
      </c>
      <c r="K149" s="23"/>
      <c r="L149" s="21">
        <f>SUM(L128:L143)</f>
        <v>0</v>
      </c>
      <c r="N149" s="21">
        <f>SUM(N128:N148)</f>
        <v>0</v>
      </c>
      <c r="P149" s="21">
        <f>SUM(P128:P146)</f>
        <v>0</v>
      </c>
      <c r="R149" s="21">
        <f>SUM(R128:R148)</f>
        <v>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0</v>
      </c>
      <c r="K151" s="23"/>
      <c r="L151" s="29">
        <f>L41+L113+L124+L149</f>
        <v>0</v>
      </c>
      <c r="N151" s="29">
        <f>N41+N113+N124+N149</f>
        <v>0</v>
      </c>
      <c r="P151" s="29">
        <f>P41+P113+P124+P149</f>
        <v>0</v>
      </c>
      <c r="R151" s="29">
        <f>SUM(R41+R113+R149)</f>
        <v>1881768.6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18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x14ac:dyDescent="0.2">
      <c r="A156" s="321" t="s">
        <v>133</v>
      </c>
      <c r="B156" s="321"/>
      <c r="C156" s="321"/>
      <c r="D156" s="33"/>
      <c r="E156" s="32"/>
      <c r="G156" s="31"/>
      <c r="I156" s="31"/>
      <c r="J156" s="321" t="s">
        <v>276</v>
      </c>
      <c r="K156" s="321"/>
      <c r="L156" s="321"/>
      <c r="M156" s="47"/>
      <c r="N156" s="49"/>
      <c r="O156" s="49"/>
      <c r="P156" s="311" t="s">
        <v>135</v>
      </c>
      <c r="Q156" s="311"/>
      <c r="R156" s="311"/>
    </row>
    <row r="157" spans="1:18" x14ac:dyDescent="0.2">
      <c r="A157" s="50"/>
      <c r="D157" s="33"/>
      <c r="E157" s="51"/>
      <c r="G157" s="31"/>
      <c r="I157" s="31"/>
      <c r="J157" s="150"/>
      <c r="M157" s="150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50"/>
      <c r="M158" s="150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322" t="s">
        <v>277</v>
      </c>
      <c r="B160" s="322"/>
      <c r="C160" s="322"/>
      <c r="D160" s="55"/>
      <c r="E160" s="56"/>
      <c r="G160" s="31"/>
      <c r="I160" s="31"/>
      <c r="J160" s="322" t="s">
        <v>291</v>
      </c>
      <c r="K160" s="322"/>
      <c r="L160" s="322"/>
      <c r="M160" s="57"/>
      <c r="N160" s="59"/>
      <c r="O160" s="59"/>
      <c r="P160" s="312" t="s">
        <v>137</v>
      </c>
      <c r="Q160" s="312"/>
      <c r="R160" s="312"/>
    </row>
    <row r="161" spans="1:18" x14ac:dyDescent="0.2">
      <c r="A161" s="321" t="s">
        <v>295</v>
      </c>
      <c r="B161" s="321"/>
      <c r="C161" s="321"/>
      <c r="D161" s="31"/>
      <c r="E161" s="32"/>
      <c r="G161" s="31"/>
      <c r="I161" s="31"/>
      <c r="J161" s="321" t="s">
        <v>269</v>
      </c>
      <c r="K161" s="321"/>
      <c r="L161" s="321"/>
      <c r="M161" s="33"/>
      <c r="N161" s="35"/>
      <c r="O161" s="35"/>
      <c r="P161" s="313" t="s">
        <v>139</v>
      </c>
      <c r="Q161" s="313"/>
      <c r="R161" s="313"/>
    </row>
  </sheetData>
  <customSheetViews>
    <customSheetView guid="{1998FCB8-1FEB-4076-ACE6-A225EE4366B3}" showPageBreaks="1" printArea="1" hiddenRows="1" view="pageBreakPreview">
      <pane xSplit="1" ySplit="13" topLeftCell="B55" activePane="bottomRight" state="frozen"/>
      <selection pane="bottomRight" activeCell="F156" sqref="F156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14" activePane="bottomRight" state="frozen"/>
      <selection pane="bottomRight" activeCell="K9" sqref="J9:R11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55" activePane="bottomRight" state="frozen"/>
      <selection pane="bottomRight" activeCell="R112" sqref="R112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60:C160"/>
    <mergeCell ref="J160:L160"/>
    <mergeCell ref="P160:R160"/>
    <mergeCell ref="A161:C161"/>
    <mergeCell ref="J161:L161"/>
    <mergeCell ref="P161:R161"/>
    <mergeCell ref="P156:R156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6:C156"/>
    <mergeCell ref="J156:L156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53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9"/>
  <sheetViews>
    <sheetView view="pageBreakPreview" zoomScaleNormal="85" zoomScaleSheetLayoutView="100" workbookViewId="0">
      <pane xSplit="1" ySplit="13" topLeftCell="B29" activePane="bottomRight" state="frozen"/>
      <selection pane="topRight" activeCell="B1" sqref="B1"/>
      <selection pane="bottomLeft" activeCell="A14" sqref="A14"/>
      <selection pane="bottomRight" activeCell="J33" sqref="J3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21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77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214</v>
      </c>
    </row>
    <row r="6" spans="1:21" ht="15" customHeight="1" x14ac:dyDescent="0.2">
      <c r="A6" s="5" t="s">
        <v>120</v>
      </c>
      <c r="B6" s="2" t="s">
        <v>113</v>
      </c>
      <c r="C6" s="5" t="s">
        <v>199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317" t="s">
        <v>122</v>
      </c>
      <c r="M8" s="317"/>
      <c r="N8" s="317"/>
      <c r="O8" s="317"/>
      <c r="P8" s="317"/>
      <c r="Q8" s="153"/>
    </row>
    <row r="9" spans="1:21" ht="15" customHeight="1" x14ac:dyDescent="0.2">
      <c r="H9" s="8"/>
      <c r="I9" s="8"/>
      <c r="J9" s="8" t="s">
        <v>268</v>
      </c>
      <c r="K9" s="8"/>
      <c r="L9" s="62" t="s">
        <v>123</v>
      </c>
      <c r="M9" s="62"/>
      <c r="N9" s="62" t="s">
        <v>125</v>
      </c>
      <c r="O9" s="62"/>
      <c r="P9" s="318" t="s">
        <v>127</v>
      </c>
      <c r="Q9" s="45"/>
      <c r="R9" s="167" t="s">
        <v>132</v>
      </c>
    </row>
    <row r="10" spans="1:21" ht="15" customHeight="1" x14ac:dyDescent="0.2">
      <c r="A10" s="320" t="s">
        <v>186</v>
      </c>
      <c r="B10" s="320"/>
      <c r="C10" s="320"/>
      <c r="D10" s="9"/>
      <c r="E10" s="320" t="s">
        <v>112</v>
      </c>
      <c r="F10" s="320"/>
      <c r="G10" s="320"/>
      <c r="H10" s="320"/>
      <c r="I10" s="8"/>
      <c r="J10" s="87" t="s">
        <v>290</v>
      </c>
      <c r="K10" s="44"/>
      <c r="L10" s="44">
        <v>2020</v>
      </c>
      <c r="M10" s="44"/>
      <c r="N10" s="44">
        <v>2020</v>
      </c>
      <c r="O10" s="44"/>
      <c r="P10" s="319"/>
      <c r="Q10" s="45"/>
      <c r="R10" s="44">
        <v>2021</v>
      </c>
    </row>
    <row r="11" spans="1:21" ht="15" customHeight="1" x14ac:dyDescent="0.2">
      <c r="A11" s="152"/>
      <c r="B11" s="152"/>
      <c r="C11" s="152"/>
      <c r="D11" s="9"/>
      <c r="E11" s="152"/>
      <c r="F11" s="152"/>
      <c r="G11" s="152"/>
      <c r="H11" s="152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319"/>
      <c r="Q11" s="45"/>
      <c r="R11" s="168" t="s">
        <v>2</v>
      </c>
    </row>
    <row r="12" spans="1:21" ht="15" customHeight="1" x14ac:dyDescent="0.2">
      <c r="A12" s="309" t="s">
        <v>3</v>
      </c>
      <c r="B12" s="309"/>
      <c r="C12" s="309"/>
      <c r="D12" s="7"/>
      <c r="E12" s="310" t="s">
        <v>4</v>
      </c>
      <c r="F12" s="310"/>
      <c r="G12" s="310"/>
      <c r="H12" s="310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7">
        <f>2539044+761081</f>
        <v>3300125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7">
        <f>192000+96000</f>
        <v>288000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7">
        <f>48000+24000</f>
        <v>72000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7">
        <f>211587+63468</f>
        <v>275055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7">
        <f>40000+20000</f>
        <v>60000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7">
        <f>211587+63468</f>
        <v>275055</v>
      </c>
    </row>
    <row r="32" spans="1:21" s="7" customFormat="1" ht="12.75" customHeight="1" x14ac:dyDescent="0.2">
      <c r="A32" s="66" t="s">
        <v>263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7">
        <f>304685.28+91393.92</f>
        <v>396079.2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7">
        <f>9600+4800</f>
        <v>14400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7">
        <f>44433.27+13328.28</f>
        <v>57761.549999999996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7">
        <f>9600+4800</f>
        <v>14400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7">
        <f>40000+20000</f>
        <v>60000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61">
        <f>SUM(J15:J40)</f>
        <v>0</v>
      </c>
      <c r="K41" s="162"/>
      <c r="L41" s="161">
        <f>SUM(L15:L40)</f>
        <v>0</v>
      </c>
      <c r="M41" s="36"/>
      <c r="N41" s="161">
        <f>SUM(N15:N40)</f>
        <v>0</v>
      </c>
      <c r="O41" s="36"/>
      <c r="P41" s="161">
        <f>SUM(P15:P40)</f>
        <v>0</v>
      </c>
      <c r="R41" s="22">
        <f>SUM(R15:R40)</f>
        <v>4812875.75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7">
        <v>33600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</row>
    <row r="55" spans="1:21" s="7" customFormat="1" ht="12.75" hidden="1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7">
        <v>25000</v>
      </c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</row>
    <row r="65" spans="1: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</row>
    <row r="66" spans="1: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</row>
    <row r="67" spans="1: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</row>
    <row r="68" spans="1: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</row>
    <row r="69" spans="1:8" s="7" customFormat="1" ht="12.75" hidden="1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</row>
    <row r="70" spans="1: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</row>
    <row r="71" spans="1: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</row>
    <row r="72" spans="1: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</row>
    <row r="73" spans="1: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</row>
    <row r="74" spans="1: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</row>
    <row r="75" spans="1: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</row>
    <row r="76" spans="1: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</row>
    <row r="77" spans="1: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</row>
    <row r="78" spans="1: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</row>
    <row r="79" spans="1: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</row>
    <row r="80" spans="1: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</row>
    <row r="81" spans="1: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</row>
    <row r="82" spans="1: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</row>
    <row r="83" spans="1: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</row>
    <row r="84" spans="1: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</row>
    <row r="85" spans="1: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</row>
    <row r="86" spans="1: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</row>
    <row r="87" spans="1: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</row>
    <row r="88" spans="1: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</row>
    <row r="90" spans="1: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</row>
    <row r="91" spans="1: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</row>
    <row r="92" spans="1: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</row>
    <row r="93" spans="1: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</row>
    <row r="94" spans="1: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</row>
    <row r="95" spans="1: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</row>
    <row r="96" spans="1: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</row>
    <row r="109" spans="1:18" s="7" customFormat="1" ht="12.75" hidden="1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</row>
    <row r="112" spans="1:18" s="7" customFormat="1" ht="12.75" customHeight="1" x14ac:dyDescent="0.2">
      <c r="A112" s="66" t="s">
        <v>260</v>
      </c>
      <c r="B112" s="40"/>
      <c r="C112" s="40"/>
      <c r="E112" s="14">
        <v>5</v>
      </c>
      <c r="F112" s="15" t="s">
        <v>12</v>
      </c>
      <c r="G112" s="80">
        <v>99</v>
      </c>
      <c r="H112" s="82">
        <v>990</v>
      </c>
      <c r="R112" s="7">
        <v>100000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SUM(J44:J112)</f>
        <v>0</v>
      </c>
      <c r="K113" s="162"/>
      <c r="L113" s="161">
        <f>SUM(L44:L112)</f>
        <v>0</v>
      </c>
      <c r="M113" s="36"/>
      <c r="N113" s="161">
        <f>SUM(N44:N112)</f>
        <v>0</v>
      </c>
      <c r="O113" s="36"/>
      <c r="P113" s="161">
        <f>SUM(P44:P112)</f>
        <v>0</v>
      </c>
      <c r="R113" s="22">
        <f>SUM(R44:R112)</f>
        <v>158600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4" s="7" customFormat="1" ht="12.75" hidden="1" customHeight="1" x14ac:dyDescent="0.2">
      <c r="A130" s="70" t="s">
        <v>90</v>
      </c>
      <c r="B130" s="40"/>
      <c r="C130" s="40"/>
      <c r="D130" s="15"/>
      <c r="E130" s="14">
        <v>1</v>
      </c>
      <c r="F130" s="15" t="s">
        <v>12</v>
      </c>
      <c r="G130" s="14" t="s">
        <v>54</v>
      </c>
      <c r="H130" s="14" t="s">
        <v>10</v>
      </c>
    </row>
    <row r="131" spans="1:14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4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4" s="7" customFormat="1" ht="12.75" hidden="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</row>
    <row r="134" spans="1:14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4" s="7" customFormat="1" ht="12.75" hidden="1" customHeight="1" x14ac:dyDescent="0.2">
      <c r="A135" s="66" t="s">
        <v>101</v>
      </c>
      <c r="B135" s="42"/>
      <c r="C135" s="42"/>
      <c r="E135" s="14">
        <v>1</v>
      </c>
      <c r="F135" s="83" t="s">
        <v>93</v>
      </c>
      <c r="G135" s="16" t="s">
        <v>54</v>
      </c>
      <c r="H135" s="84" t="s">
        <v>102</v>
      </c>
      <c r="N135" s="36"/>
    </row>
    <row r="136" spans="1:14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4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4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4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4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4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4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4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4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97</v>
      </c>
      <c r="B146" s="40"/>
      <c r="C146" s="40"/>
      <c r="E146" s="14">
        <v>1</v>
      </c>
      <c r="F146" s="15" t="s">
        <v>93</v>
      </c>
      <c r="G146" s="14" t="s">
        <v>93</v>
      </c>
      <c r="H146" s="14" t="s">
        <v>8</v>
      </c>
    </row>
    <row r="147" spans="1:18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N147" s="36"/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7.25" hidden="1" customHeight="1" x14ac:dyDescent="0.2">
      <c r="A150" s="63" t="s">
        <v>108</v>
      </c>
      <c r="B150" s="26"/>
      <c r="C150" s="26"/>
      <c r="J150" s="21">
        <f>SUM(J129:J149)</f>
        <v>0</v>
      </c>
      <c r="K150" s="23"/>
      <c r="L150" s="21">
        <f>SUM(L129:L144)</f>
        <v>0</v>
      </c>
      <c r="N150" s="21">
        <f>SUM(N129:N149)</f>
        <v>0</v>
      </c>
      <c r="P150" s="21">
        <f>SUM(P129:P147)</f>
        <v>0</v>
      </c>
      <c r="R150" s="21">
        <f>SUM(R129:R149)</f>
        <v>0</v>
      </c>
    </row>
    <row r="151" spans="1:18" s="7" customFormat="1" ht="6" hidden="1" customHeight="1" x14ac:dyDescent="0.2"/>
    <row r="152" spans="1:18" s="7" customFormat="1" ht="15.75" customHeight="1" thickBot="1" x14ac:dyDescent="0.25">
      <c r="A152" s="11" t="s">
        <v>110</v>
      </c>
      <c r="B152" s="28"/>
      <c r="C152" s="28"/>
      <c r="J152" s="29">
        <f>J41+J113+J124+J150</f>
        <v>0</v>
      </c>
      <c r="K152" s="23"/>
      <c r="L152" s="29">
        <f>L41+L113+L124+L150</f>
        <v>0</v>
      </c>
      <c r="N152" s="29">
        <f>N41+N113+N124+N150</f>
        <v>0</v>
      </c>
      <c r="P152" s="29">
        <f>P41+P113+P124+P150</f>
        <v>0</v>
      </c>
      <c r="R152" s="29">
        <f>SUM(R41+R113+R150)</f>
        <v>4971475.75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321" t="s">
        <v>133</v>
      </c>
      <c r="B154" s="321"/>
      <c r="C154" s="321"/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311" t="s">
        <v>135</v>
      </c>
      <c r="Q154" s="311"/>
      <c r="R154" s="311"/>
    </row>
    <row r="155" spans="1:18" x14ac:dyDescent="0.2">
      <c r="A155" s="50"/>
      <c r="D155" s="33"/>
      <c r="E155" s="51"/>
      <c r="G155" s="31"/>
      <c r="I155" s="31"/>
      <c r="J155" s="154"/>
      <c r="M155" s="154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54"/>
      <c r="M156" s="154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322" t="s">
        <v>277</v>
      </c>
      <c r="B158" s="322"/>
      <c r="C158" s="322"/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312" t="s">
        <v>137</v>
      </c>
      <c r="Q158" s="312"/>
      <c r="R158" s="312"/>
    </row>
    <row r="159" spans="1:18" x14ac:dyDescent="0.2">
      <c r="A159" s="321" t="s">
        <v>295</v>
      </c>
      <c r="B159" s="321"/>
      <c r="C159" s="321"/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313" t="s">
        <v>139</v>
      </c>
      <c r="Q159" s="313"/>
      <c r="R159" s="313"/>
    </row>
  </sheetData>
  <customSheetViews>
    <customSheetView guid="{1998FCB8-1FEB-4076-ACE6-A225EE4366B3}" showPageBreaks="1" printArea="1" hiddenRows="1" view="pageBreakPreview">
      <pane xSplit="1" ySplit="13" topLeftCell="B44" activePane="bottomRight" state="frozen"/>
      <selection pane="bottomRight" activeCell="J33" sqref="J33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14" activePane="bottomRight" state="frozen"/>
      <selection pane="bottomRight" activeCell="J9" sqref="J9:R11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35" activePane="bottomRight" state="frozen"/>
      <selection pane="bottomRight" activeCell="R112" sqref="R112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4:R154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4:C154"/>
    <mergeCell ref="J154:L154"/>
    <mergeCell ref="A158:C158"/>
    <mergeCell ref="J158:L158"/>
    <mergeCell ref="P158:R158"/>
    <mergeCell ref="A159:C159"/>
    <mergeCell ref="J159:L159"/>
    <mergeCell ref="P159:R159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60"/>
  <sheetViews>
    <sheetView view="pageBreakPreview" zoomScaleNormal="85" zoomScaleSheetLayoutView="100" workbookViewId="0">
      <pane xSplit="1" ySplit="14" topLeftCell="B19" activePane="bottomRight" state="frozen"/>
      <selection pane="topRight" activeCell="B1" sqref="B1"/>
      <selection pane="bottomLeft" activeCell="A15" sqref="A15"/>
      <selection pane="bottomRight" activeCell="R151" sqref="R15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7">
        <v>1032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9991115.6300000008</v>
      </c>
      <c r="K17" s="13"/>
      <c r="L17" s="36">
        <v>4522486.58</v>
      </c>
      <c r="M17" s="36"/>
      <c r="N17" s="36">
        <f t="shared" ref="N17:N22" si="0">P17-L17</f>
        <v>7084075.3399999999</v>
      </c>
      <c r="O17" s="36"/>
      <c r="P17" s="36">
        <v>11606561.92</v>
      </c>
      <c r="Q17" s="36"/>
      <c r="R17" s="36">
        <v>12051592.470000001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>
        <f t="shared" si="0"/>
        <v>0</v>
      </c>
      <c r="O18" s="36"/>
      <c r="P18" s="36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716856.46</v>
      </c>
      <c r="K19" s="13"/>
      <c r="L19" s="36">
        <v>302818.18</v>
      </c>
      <c r="M19" s="36"/>
      <c r="N19" s="36">
        <f t="shared" si="0"/>
        <v>513181.82</v>
      </c>
      <c r="O19" s="36"/>
      <c r="P19" s="36">
        <v>816000</v>
      </c>
      <c r="Q19" s="36"/>
      <c r="R19" s="36">
        <v>816000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102000</v>
      </c>
      <c r="K20" s="13"/>
      <c r="L20" s="36">
        <v>51000</v>
      </c>
      <c r="M20" s="36"/>
      <c r="N20" s="36">
        <f t="shared" si="0"/>
        <v>51000</v>
      </c>
      <c r="O20" s="36"/>
      <c r="P20" s="36">
        <v>102000</v>
      </c>
      <c r="Q20" s="36"/>
      <c r="R20" s="36">
        <v>102000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102000</v>
      </c>
      <c r="K21" s="13"/>
      <c r="L21" s="36">
        <v>51000</v>
      </c>
      <c r="M21" s="36"/>
      <c r="N21" s="36">
        <f t="shared" si="0"/>
        <v>51000</v>
      </c>
      <c r="O21" s="36"/>
      <c r="P21" s="36">
        <v>102000</v>
      </c>
      <c r="Q21" s="36"/>
      <c r="R21" s="36">
        <v>102000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180000</v>
      </c>
      <c r="K22" s="13"/>
      <c r="L22" s="36"/>
      <c r="M22" s="36"/>
      <c r="N22" s="36">
        <f t="shared" si="0"/>
        <v>204000</v>
      </c>
      <c r="O22" s="36"/>
      <c r="P22" s="36">
        <v>204000</v>
      </c>
      <c r="Q22" s="36"/>
      <c r="R22" s="36">
        <v>204000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143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45</v>
      </c>
      <c r="J24" s="13"/>
      <c r="K24" s="13"/>
      <c r="L24" s="36"/>
      <c r="M24" s="36"/>
      <c r="N24" s="36"/>
      <c r="O24" s="36"/>
      <c r="P24" s="36"/>
      <c r="Q24" s="36"/>
      <c r="R24" s="36"/>
    </row>
    <row r="25" spans="1:18" s="7" customFormat="1" ht="12.75" hidden="1" customHeight="1" x14ac:dyDescent="0.2">
      <c r="A25" s="86" t="s">
        <v>144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60</v>
      </c>
      <c r="J25" s="13"/>
      <c r="K25" s="13"/>
      <c r="L25" s="36"/>
      <c r="M25" s="36"/>
      <c r="N25" s="36">
        <f t="shared" ref="N25:N41" si="1">P25-L25</f>
        <v>0</v>
      </c>
      <c r="O25" s="36"/>
      <c r="P25" s="36"/>
      <c r="Q25" s="36"/>
      <c r="R25" s="36"/>
    </row>
    <row r="26" spans="1:18" s="7" customFormat="1" ht="12" hidden="1" customHeight="1" x14ac:dyDescent="0.2">
      <c r="A26" s="86" t="s">
        <v>18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19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hidden="1" customHeight="1" x14ac:dyDescent="0.2">
      <c r="A27" s="86" t="s">
        <v>21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102</v>
      </c>
      <c r="J27" s="13"/>
      <c r="K27" s="13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18" s="7" customFormat="1" ht="12.75" customHeight="1" x14ac:dyDescent="0.2">
      <c r="A28" s="86" t="s">
        <v>22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146</v>
      </c>
      <c r="J28" s="13"/>
      <c r="K28" s="13"/>
      <c r="L28" s="36">
        <v>84000</v>
      </c>
      <c r="M28" s="36"/>
      <c r="N28" s="36">
        <f t="shared" si="1"/>
        <v>168000</v>
      </c>
      <c r="O28" s="36"/>
      <c r="P28" s="36">
        <v>252000</v>
      </c>
      <c r="Q28" s="36"/>
      <c r="R28" s="36"/>
    </row>
    <row r="29" spans="1:18" s="7" customFormat="1" ht="12.75" hidden="1" customHeight="1" x14ac:dyDescent="0.2">
      <c r="A29" s="86" t="s">
        <v>145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47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23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24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customHeight="1" x14ac:dyDescent="0.2">
      <c r="A31" s="86" t="s">
        <v>27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28</v>
      </c>
      <c r="J31" s="36">
        <v>815324.4</v>
      </c>
      <c r="K31" s="36"/>
      <c r="L31" s="36"/>
      <c r="M31" s="36"/>
      <c r="N31" s="36">
        <f>P31-L31</f>
        <v>975026</v>
      </c>
      <c r="O31" s="36"/>
      <c r="P31" s="36">
        <v>975026</v>
      </c>
      <c r="Q31" s="36"/>
      <c r="R31" s="36">
        <v>1005279</v>
      </c>
    </row>
    <row r="32" spans="1:18" s="7" customFormat="1" ht="12.75" customHeight="1" x14ac:dyDescent="0.2">
      <c r="A32" s="86" t="s">
        <v>25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26</v>
      </c>
      <c r="J32" s="36">
        <v>152500</v>
      </c>
      <c r="K32" s="36"/>
      <c r="L32" s="36"/>
      <c r="M32" s="36"/>
      <c r="N32" s="36">
        <f t="shared" si="1"/>
        <v>170000</v>
      </c>
      <c r="O32" s="36"/>
      <c r="P32" s="36">
        <v>170000</v>
      </c>
      <c r="Q32" s="36"/>
      <c r="R32" s="36">
        <v>170000</v>
      </c>
    </row>
    <row r="33" spans="1:18" s="7" customFormat="1" ht="12.75" customHeight="1" x14ac:dyDescent="0.2">
      <c r="A33" s="86" t="s">
        <v>140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49</v>
      </c>
      <c r="J33" s="13">
        <v>809958</v>
      </c>
      <c r="K33" s="13"/>
      <c r="L33" s="36">
        <v>654382</v>
      </c>
      <c r="M33" s="36"/>
      <c r="N33" s="36">
        <f>P33-L33</f>
        <v>320644</v>
      </c>
      <c r="O33" s="36"/>
      <c r="P33" s="36">
        <v>975026</v>
      </c>
      <c r="Q33" s="36"/>
      <c r="R33" s="36">
        <v>1005279</v>
      </c>
    </row>
    <row r="34" spans="1:18" s="7" customFormat="1" ht="12.75" customHeight="1" x14ac:dyDescent="0.2">
      <c r="A34" s="86" t="s">
        <v>263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8</v>
      </c>
      <c r="J34" s="36">
        <v>1198647.1299999999</v>
      </c>
      <c r="K34" s="36"/>
      <c r="L34" s="36">
        <v>540779.86</v>
      </c>
      <c r="M34" s="36"/>
      <c r="N34" s="36">
        <f t="shared" si="1"/>
        <v>863257.58</v>
      </c>
      <c r="O34" s="36"/>
      <c r="P34" s="36">
        <v>1404037.44</v>
      </c>
      <c r="Q34" s="36"/>
      <c r="R34" s="36">
        <v>1447601.76</v>
      </c>
    </row>
    <row r="35" spans="1:18" s="7" customFormat="1" ht="12.75" customHeight="1" x14ac:dyDescent="0.2">
      <c r="A35" s="86" t="s">
        <v>30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10</v>
      </c>
      <c r="J35" s="36">
        <v>35900</v>
      </c>
      <c r="K35" s="36"/>
      <c r="L35" s="36">
        <v>16400</v>
      </c>
      <c r="M35" s="36"/>
      <c r="N35" s="36">
        <f t="shared" si="1"/>
        <v>24400</v>
      </c>
      <c r="O35" s="36"/>
      <c r="P35" s="36">
        <v>40800</v>
      </c>
      <c r="Q35" s="36"/>
      <c r="R35" s="36">
        <v>40800</v>
      </c>
    </row>
    <row r="36" spans="1:18" s="7" customFormat="1" ht="12.75" customHeight="1" x14ac:dyDescent="0.2">
      <c r="A36" s="86" t="s">
        <v>31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15</v>
      </c>
      <c r="J36" s="36">
        <v>115813.08</v>
      </c>
      <c r="K36" s="36"/>
      <c r="L36" s="36">
        <v>61615.01</v>
      </c>
      <c r="M36" s="36"/>
      <c r="N36" s="36">
        <f t="shared" si="1"/>
        <v>99370.15</v>
      </c>
      <c r="O36" s="36"/>
      <c r="P36" s="36">
        <v>160985.16</v>
      </c>
      <c r="Q36" s="36"/>
      <c r="R36" s="36">
        <v>200032.35</v>
      </c>
    </row>
    <row r="37" spans="1:18" s="7" customFormat="1" ht="12.75" customHeight="1" x14ac:dyDescent="0.2">
      <c r="A37" s="86" t="s">
        <v>32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17</v>
      </c>
      <c r="J37" s="36">
        <v>35858.800000000003</v>
      </c>
      <c r="K37" s="36"/>
      <c r="L37" s="36">
        <v>16400</v>
      </c>
      <c r="M37" s="36"/>
      <c r="N37" s="36">
        <f t="shared" si="1"/>
        <v>24400</v>
      </c>
      <c r="O37" s="36"/>
      <c r="P37" s="36">
        <v>40800</v>
      </c>
      <c r="Q37" s="36"/>
      <c r="R37" s="36">
        <v>40800</v>
      </c>
    </row>
    <row r="38" spans="1:18" s="7" customFormat="1" ht="12.75" hidden="1" customHeight="1" x14ac:dyDescent="0.2">
      <c r="A38" s="86" t="s">
        <v>147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8</v>
      </c>
      <c r="J38" s="36"/>
      <c r="K38" s="36"/>
      <c r="L38" s="36"/>
      <c r="M38" s="36"/>
      <c r="N38" s="36">
        <f t="shared" si="1"/>
        <v>0</v>
      </c>
      <c r="O38" s="36"/>
      <c r="P38" s="36"/>
      <c r="Q38" s="36"/>
      <c r="R38" s="36"/>
    </row>
    <row r="39" spans="1:18" s="7" customFormat="1" ht="12.75" hidden="1" customHeight="1" x14ac:dyDescent="0.2">
      <c r="A39" s="86" t="s">
        <v>148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10</v>
      </c>
      <c r="J39" s="36"/>
      <c r="K39" s="36"/>
      <c r="L39" s="36"/>
      <c r="M39" s="36"/>
      <c r="N39" s="36">
        <f t="shared" si="1"/>
        <v>0</v>
      </c>
      <c r="O39" s="36"/>
      <c r="P39" s="36"/>
      <c r="Q39" s="36"/>
      <c r="R39" s="36"/>
    </row>
    <row r="40" spans="1:18" s="7" customFormat="1" ht="12.75" customHeight="1" x14ac:dyDescent="0.2">
      <c r="A40" s="86" t="s">
        <v>33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15</v>
      </c>
      <c r="J40" s="36">
        <v>789511.68000000005</v>
      </c>
      <c r="K40" s="36"/>
      <c r="L40" s="36"/>
      <c r="M40" s="36"/>
      <c r="N40" s="36">
        <f t="shared" si="1"/>
        <v>3405442.89</v>
      </c>
      <c r="O40" s="36"/>
      <c r="P40" s="36">
        <v>3405442.89</v>
      </c>
      <c r="Q40" s="36"/>
      <c r="R40" s="36">
        <v>0</v>
      </c>
    </row>
    <row r="41" spans="1:18" s="7" customFormat="1" ht="12.75" customHeight="1" x14ac:dyDescent="0.2">
      <c r="A41" s="86" t="s">
        <v>35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49</v>
      </c>
      <c r="J41" s="36">
        <v>202500</v>
      </c>
      <c r="K41" s="36"/>
      <c r="L41" s="36"/>
      <c r="M41" s="36"/>
      <c r="N41" s="36">
        <f t="shared" si="1"/>
        <v>195000</v>
      </c>
      <c r="O41" s="36"/>
      <c r="P41" s="36">
        <v>195000</v>
      </c>
      <c r="Q41" s="36"/>
      <c r="R41" s="36">
        <v>170000</v>
      </c>
    </row>
    <row r="42" spans="1:18" s="7" customFormat="1" ht="12.75" hidden="1" customHeight="1" x14ac:dyDescent="0.2">
      <c r="A42" s="86" t="s">
        <v>149</v>
      </c>
      <c r="B42" s="111"/>
      <c r="C42" s="111"/>
      <c r="D42" s="112"/>
      <c r="E42" s="112">
        <v>5</v>
      </c>
      <c r="F42" s="113" t="s">
        <v>7</v>
      </c>
      <c r="G42" s="112" t="s">
        <v>29</v>
      </c>
      <c r="H42" s="112" t="s">
        <v>64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s="7" customFormat="1" ht="18.95" customHeight="1" x14ac:dyDescent="0.2">
      <c r="A43" s="63" t="s">
        <v>36</v>
      </c>
      <c r="B43" s="26"/>
      <c r="C43" s="26"/>
      <c r="J43" s="161">
        <f>SUM(J17:J42)</f>
        <v>15247985.180000002</v>
      </c>
      <c r="K43" s="162"/>
      <c r="L43" s="161">
        <f>SUM(L17:L42)</f>
        <v>6300881.6299999999</v>
      </c>
      <c r="M43" s="36"/>
      <c r="N43" s="161">
        <f>SUM(N17:N42)</f>
        <v>14148797.780000001</v>
      </c>
      <c r="O43" s="36"/>
      <c r="P43" s="161">
        <f>SUM(P17:P42)</f>
        <v>20449679.41</v>
      </c>
      <c r="Q43" s="36"/>
      <c r="R43" s="161">
        <f>SUM(R17:R42)</f>
        <v>17355384.580000002</v>
      </c>
    </row>
    <row r="44" spans="1:18" s="7" customFormat="1" ht="6" customHeight="1" x14ac:dyDescent="0.2">
      <c r="A44" s="17"/>
      <c r="B44" s="17"/>
      <c r="C44" s="17"/>
      <c r="J44" s="162"/>
      <c r="K44" s="162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68" t="s">
        <v>188</v>
      </c>
      <c r="B45" s="12"/>
      <c r="C45" s="12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7" customFormat="1" ht="6" customHeight="1" x14ac:dyDescent="0.2">
      <c r="A46" s="68"/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12.75" customHeight="1" x14ac:dyDescent="0.2">
      <c r="A47" s="86" t="s">
        <v>37</v>
      </c>
      <c r="B47" s="111"/>
      <c r="C47" s="111"/>
      <c r="D47" s="112"/>
      <c r="E47" s="112">
        <v>5</v>
      </c>
      <c r="F47" s="113" t="s">
        <v>12</v>
      </c>
      <c r="G47" s="112" t="s">
        <v>7</v>
      </c>
      <c r="H47" s="112" t="s">
        <v>8</v>
      </c>
      <c r="J47" s="36">
        <v>8220</v>
      </c>
      <c r="K47" s="36"/>
      <c r="L47" s="36"/>
      <c r="M47" s="36"/>
      <c r="N47" s="36">
        <f t="shared" ref="N47:N72" si="2">P47-L47</f>
        <v>100800</v>
      </c>
      <c r="O47" s="36"/>
      <c r="P47" s="36">
        <v>100800</v>
      </c>
      <c r="Q47" s="36"/>
      <c r="R47" s="36">
        <v>100800</v>
      </c>
    </row>
    <row r="48" spans="1:18" s="7" customFormat="1" ht="12.75" hidden="1" customHeight="1" x14ac:dyDescent="0.2">
      <c r="A48" s="86" t="s">
        <v>38</v>
      </c>
      <c r="B48" s="111"/>
      <c r="C48" s="111"/>
      <c r="E48" s="112">
        <v>5</v>
      </c>
      <c r="F48" s="113" t="s">
        <v>12</v>
      </c>
      <c r="G48" s="112" t="s">
        <v>7</v>
      </c>
      <c r="H48" s="112" t="s">
        <v>10</v>
      </c>
      <c r="J48" s="36"/>
      <c r="K48" s="36"/>
      <c r="L48" s="36"/>
      <c r="M48" s="36"/>
      <c r="N48" s="36">
        <f t="shared" si="2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39</v>
      </c>
      <c r="B49" s="111"/>
      <c r="C49" s="111"/>
      <c r="E49" s="112">
        <v>5</v>
      </c>
      <c r="F49" s="113" t="s">
        <v>12</v>
      </c>
      <c r="G49" s="112" t="s">
        <v>12</v>
      </c>
      <c r="H49" s="112" t="s">
        <v>8</v>
      </c>
      <c r="J49" s="36">
        <v>318950</v>
      </c>
      <c r="K49" s="36"/>
      <c r="L49" s="36"/>
      <c r="M49" s="36"/>
      <c r="N49" s="36">
        <f t="shared" si="2"/>
        <v>4216111</v>
      </c>
      <c r="O49" s="36"/>
      <c r="P49" s="36">
        <v>4216111</v>
      </c>
      <c r="Q49" s="36"/>
      <c r="R49" s="36">
        <v>2879500</v>
      </c>
    </row>
    <row r="50" spans="1:18" s="7" customFormat="1" ht="12.75" hidden="1" customHeight="1" x14ac:dyDescent="0.2">
      <c r="A50" s="86" t="s">
        <v>142</v>
      </c>
      <c r="B50" s="111"/>
      <c r="C50" s="111"/>
      <c r="D50" s="112"/>
      <c r="E50" s="112">
        <v>5</v>
      </c>
      <c r="F50" s="113" t="s">
        <v>12</v>
      </c>
      <c r="G50" s="112" t="s">
        <v>12</v>
      </c>
      <c r="H50" s="112" t="s">
        <v>10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41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10</v>
      </c>
      <c r="J51" s="36"/>
      <c r="K51" s="36"/>
      <c r="L51" s="36"/>
      <c r="M51" s="36"/>
      <c r="N51" s="36">
        <f t="shared" si="2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42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17</v>
      </c>
      <c r="J52" s="36"/>
      <c r="K52" s="36"/>
      <c r="L52" s="36"/>
      <c r="M52" s="36"/>
      <c r="N52" s="36">
        <f t="shared" si="2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43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64</v>
      </c>
      <c r="J53" s="36"/>
      <c r="K53" s="36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88</v>
      </c>
      <c r="B54" s="111"/>
      <c r="C54" s="111"/>
      <c r="E54" s="112">
        <v>5</v>
      </c>
      <c r="F54" s="113" t="s">
        <v>12</v>
      </c>
      <c r="G54" s="112" t="s">
        <v>29</v>
      </c>
      <c r="H54" s="112" t="s">
        <v>60</v>
      </c>
      <c r="J54" s="36"/>
      <c r="K54" s="36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150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19</v>
      </c>
      <c r="J55" s="39"/>
      <c r="K55" s="39"/>
      <c r="L55" s="36"/>
      <c r="M55" s="36"/>
      <c r="N55" s="36">
        <f t="shared" si="2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151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82</v>
      </c>
      <c r="J56" s="39"/>
      <c r="K56" s="39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44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45</v>
      </c>
      <c r="J57" s="39"/>
      <c r="K57" s="39"/>
      <c r="L57" s="36"/>
      <c r="M57" s="36"/>
      <c r="N57" s="36">
        <f t="shared" si="2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152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102</v>
      </c>
      <c r="J58" s="36"/>
      <c r="K58" s="36"/>
      <c r="L58" s="36"/>
      <c r="M58" s="36"/>
      <c r="N58" s="36">
        <f t="shared" si="2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153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146</v>
      </c>
      <c r="J59" s="36"/>
      <c r="K59" s="36"/>
      <c r="L59" s="36"/>
      <c r="M59" s="36"/>
      <c r="N59" s="36">
        <f t="shared" si="2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46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47</v>
      </c>
      <c r="J60" s="36"/>
      <c r="K60" s="36"/>
      <c r="L60" s="36"/>
      <c r="M60" s="36"/>
      <c r="N60" s="36">
        <f t="shared" si="2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154</v>
      </c>
      <c r="B61" s="111"/>
      <c r="C61" s="111"/>
      <c r="E61" s="112">
        <v>5</v>
      </c>
      <c r="F61" s="113" t="s">
        <v>12</v>
      </c>
      <c r="G61" s="112" t="s">
        <v>29</v>
      </c>
      <c r="H61" s="112" t="s">
        <v>15</v>
      </c>
      <c r="J61" s="36"/>
      <c r="K61" s="36"/>
      <c r="L61" s="36"/>
      <c r="M61" s="36"/>
      <c r="N61" s="36">
        <f t="shared" si="2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51</v>
      </c>
      <c r="B62" s="111"/>
      <c r="C62" s="111"/>
      <c r="D62" s="112"/>
      <c r="E62" s="112">
        <v>5</v>
      </c>
      <c r="F62" s="113" t="s">
        <v>12</v>
      </c>
      <c r="G62" s="112" t="s">
        <v>29</v>
      </c>
      <c r="H62" s="112" t="s">
        <v>24</v>
      </c>
      <c r="J62" s="36"/>
      <c r="K62" s="36"/>
      <c r="L62" s="36"/>
      <c r="M62" s="36"/>
      <c r="N62" s="36">
        <f t="shared" si="2"/>
        <v>0</v>
      </c>
      <c r="O62" s="36"/>
      <c r="P62" s="36"/>
      <c r="Q62" s="36"/>
      <c r="R62" s="36"/>
    </row>
    <row r="63" spans="1:18" s="7" customFormat="1" ht="12.75" customHeight="1" x14ac:dyDescent="0.2">
      <c r="A63" s="86" t="s">
        <v>48</v>
      </c>
      <c r="B63" s="111"/>
      <c r="C63" s="111"/>
      <c r="E63" s="112">
        <v>5</v>
      </c>
      <c r="F63" s="113" t="s">
        <v>12</v>
      </c>
      <c r="G63" s="112" t="s">
        <v>29</v>
      </c>
      <c r="H63" s="114" t="s">
        <v>49</v>
      </c>
      <c r="J63" s="36">
        <v>10640</v>
      </c>
      <c r="K63" s="36"/>
      <c r="L63" s="36">
        <v>21840</v>
      </c>
      <c r="M63" s="36"/>
      <c r="N63" s="36">
        <f t="shared" si="2"/>
        <v>214800</v>
      </c>
      <c r="O63" s="36"/>
      <c r="P63" s="36">
        <v>236640</v>
      </c>
      <c r="Q63" s="36"/>
      <c r="R63" s="36">
        <v>369140</v>
      </c>
    </row>
    <row r="64" spans="1:18" s="7" customFormat="1" ht="12.75" hidden="1" customHeight="1" x14ac:dyDescent="0.2">
      <c r="A64" s="86" t="s">
        <v>50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8</v>
      </c>
      <c r="J64" s="36"/>
      <c r="K64" s="36"/>
      <c r="L64" s="36"/>
      <c r="M64" s="36"/>
      <c r="N64" s="36">
        <f t="shared" si="2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52</v>
      </c>
      <c r="B65" s="111"/>
      <c r="C65" s="111"/>
      <c r="D65" s="112"/>
      <c r="E65" s="112">
        <v>5</v>
      </c>
      <c r="F65" s="113" t="s">
        <v>12</v>
      </c>
      <c r="G65" s="112" t="s">
        <v>34</v>
      </c>
      <c r="H65" s="112" t="s">
        <v>10</v>
      </c>
      <c r="J65" s="36"/>
      <c r="K65" s="36"/>
      <c r="L65" s="36"/>
      <c r="M65" s="36"/>
      <c r="N65" s="36">
        <f t="shared" si="2"/>
        <v>0</v>
      </c>
      <c r="O65" s="36"/>
      <c r="P65" s="36"/>
      <c r="Q65" s="36"/>
      <c r="R65" s="36"/>
    </row>
    <row r="66" spans="1:18" s="7" customFormat="1" ht="12.75" hidden="1" customHeight="1" x14ac:dyDescent="0.2">
      <c r="A66" s="86" t="s">
        <v>48</v>
      </c>
      <c r="B66" s="111"/>
      <c r="C66" s="111"/>
      <c r="D66" s="112"/>
      <c r="E66" s="112">
        <v>5</v>
      </c>
      <c r="F66" s="113" t="s">
        <v>12</v>
      </c>
      <c r="G66" s="112" t="s">
        <v>29</v>
      </c>
      <c r="H66" s="114" t="s">
        <v>49</v>
      </c>
      <c r="J66" s="36"/>
      <c r="K66" s="36"/>
      <c r="L66" s="36"/>
      <c r="M66" s="36"/>
      <c r="N66" s="36">
        <f t="shared" si="2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53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8</v>
      </c>
      <c r="J67" s="36"/>
      <c r="K67" s="36"/>
      <c r="L67" s="36"/>
      <c r="M67" s="36"/>
      <c r="N67" s="36">
        <f t="shared" si="2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55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10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56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15</v>
      </c>
      <c r="J69" s="36"/>
      <c r="K69" s="36"/>
      <c r="L69" s="36"/>
      <c r="M69" s="36"/>
      <c r="N69" s="36">
        <f t="shared" si="2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57</v>
      </c>
      <c r="B70" s="111"/>
      <c r="C70" s="111"/>
      <c r="E70" s="112">
        <v>5</v>
      </c>
      <c r="F70" s="113" t="s">
        <v>12</v>
      </c>
      <c r="G70" s="112" t="s">
        <v>54</v>
      </c>
      <c r="H70" s="112" t="s">
        <v>17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58</v>
      </c>
      <c r="B71" s="111"/>
      <c r="C71" s="111"/>
      <c r="E71" s="112">
        <v>5</v>
      </c>
      <c r="F71" s="112" t="s">
        <v>12</v>
      </c>
      <c r="G71" s="112" t="s">
        <v>59</v>
      </c>
      <c r="H71" s="112" t="s">
        <v>60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customHeight="1" x14ac:dyDescent="0.2">
      <c r="A72" s="86" t="s">
        <v>66</v>
      </c>
      <c r="B72" s="111"/>
      <c r="C72" s="111"/>
      <c r="E72" s="112">
        <v>5</v>
      </c>
      <c r="F72" s="113" t="s">
        <v>12</v>
      </c>
      <c r="G72" s="112" t="s">
        <v>67</v>
      </c>
      <c r="H72" s="112" t="s">
        <v>8</v>
      </c>
      <c r="J72" s="36"/>
      <c r="K72" s="36"/>
      <c r="L72" s="36"/>
      <c r="M72" s="36"/>
      <c r="N72" s="36">
        <f t="shared" si="2"/>
        <v>110000</v>
      </c>
      <c r="O72" s="36"/>
      <c r="P72" s="36">
        <v>110000</v>
      </c>
      <c r="Q72" s="36"/>
      <c r="R72" s="36">
        <v>222700</v>
      </c>
    </row>
    <row r="73" spans="1:18" s="7" customFormat="1" ht="12.75" hidden="1" customHeight="1" x14ac:dyDescent="0.2">
      <c r="A73" s="86" t="s">
        <v>61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8</v>
      </c>
      <c r="J73" s="36"/>
      <c r="K73" s="36"/>
      <c r="L73" s="36"/>
      <c r="M73" s="36"/>
      <c r="N73" s="36"/>
      <c r="O73" s="36"/>
      <c r="P73" s="36"/>
      <c r="Q73" s="36"/>
      <c r="R73" s="36"/>
    </row>
    <row r="74" spans="1:18" s="7" customFormat="1" ht="12.75" hidden="1" customHeight="1" x14ac:dyDescent="0.2">
      <c r="A74" s="86" t="s">
        <v>62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10</v>
      </c>
      <c r="J74" s="36"/>
      <c r="K74" s="36"/>
      <c r="L74" s="36"/>
      <c r="M74" s="36"/>
      <c r="N74" s="36"/>
      <c r="O74" s="36"/>
      <c r="P74" s="36"/>
      <c r="Q74" s="36"/>
      <c r="R74" s="36"/>
    </row>
    <row r="75" spans="1:18" s="7" customFormat="1" ht="12.75" hidden="1" customHeight="1" x14ac:dyDescent="0.2">
      <c r="A75" s="86" t="s">
        <v>63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64</v>
      </c>
      <c r="J75" s="36"/>
      <c r="K75" s="36"/>
      <c r="L75" s="36"/>
      <c r="M75" s="36"/>
      <c r="N75" s="36"/>
      <c r="O75" s="36"/>
      <c r="P75" s="36"/>
      <c r="Q75" s="36"/>
      <c r="R75" s="36"/>
    </row>
    <row r="76" spans="1:18" s="7" customFormat="1" ht="12.75" hidden="1" customHeight="1" x14ac:dyDescent="0.2">
      <c r="A76" s="86" t="s">
        <v>155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15</v>
      </c>
      <c r="J76" s="36"/>
      <c r="K76" s="36"/>
      <c r="L76" s="36"/>
      <c r="M76" s="36"/>
      <c r="N76" s="36"/>
      <c r="O76" s="36"/>
      <c r="P76" s="36"/>
      <c r="Q76" s="36"/>
      <c r="R76" s="36"/>
    </row>
    <row r="77" spans="1:18" s="7" customFormat="1" ht="12.75" hidden="1" customHeight="1" x14ac:dyDescent="0.2">
      <c r="A77" s="86" t="s">
        <v>156</v>
      </c>
      <c r="B77" s="111"/>
      <c r="C77" s="111"/>
      <c r="E77" s="112">
        <v>5</v>
      </c>
      <c r="F77" s="112" t="s">
        <v>12</v>
      </c>
      <c r="G77" s="112" t="s">
        <v>59</v>
      </c>
      <c r="H77" s="112" t="s">
        <v>17</v>
      </c>
      <c r="J77" s="36"/>
      <c r="K77" s="36"/>
      <c r="L77" s="36"/>
      <c r="M77" s="36"/>
      <c r="N77" s="36"/>
      <c r="O77" s="36"/>
      <c r="P77" s="36"/>
      <c r="Q77" s="36"/>
      <c r="R77" s="36"/>
    </row>
    <row r="78" spans="1:18" s="7" customFormat="1" ht="12.75" hidden="1" customHeight="1" x14ac:dyDescent="0.2">
      <c r="A78" s="86" t="s">
        <v>63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64</v>
      </c>
      <c r="J78" s="36"/>
      <c r="K78" s="36"/>
      <c r="L78" s="36"/>
      <c r="M78" s="36"/>
      <c r="N78" s="36"/>
      <c r="O78" s="36"/>
      <c r="P78" s="36"/>
      <c r="Q78" s="36"/>
      <c r="R78" s="36"/>
    </row>
    <row r="79" spans="1:18" s="7" customFormat="1" ht="12.75" hidden="1" customHeight="1" x14ac:dyDescent="0.2">
      <c r="A79" s="86" t="s">
        <v>65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19</v>
      </c>
      <c r="J79" s="36"/>
      <c r="K79" s="36"/>
      <c r="L79" s="36"/>
      <c r="M79" s="36"/>
      <c r="N79" s="36"/>
      <c r="O79" s="36"/>
      <c r="P79" s="36"/>
      <c r="Q79" s="36"/>
      <c r="R79" s="36"/>
    </row>
    <row r="80" spans="1:18" s="7" customFormat="1" ht="12.75" hidden="1" customHeight="1" x14ac:dyDescent="0.2">
      <c r="A80" s="86" t="s">
        <v>157</v>
      </c>
      <c r="B80" s="111"/>
      <c r="C80" s="111"/>
      <c r="E80" s="112">
        <v>5</v>
      </c>
      <c r="F80" s="113" t="s">
        <v>12</v>
      </c>
      <c r="G80" s="112" t="s">
        <v>93</v>
      </c>
      <c r="H80" s="112" t="s">
        <v>8</v>
      </c>
      <c r="J80" s="36"/>
      <c r="K80" s="36"/>
      <c r="L80" s="36"/>
      <c r="M80" s="36"/>
      <c r="N80" s="36"/>
      <c r="O80" s="36"/>
      <c r="P80" s="36"/>
      <c r="Q80" s="36"/>
      <c r="R80" s="36"/>
    </row>
    <row r="81" spans="1:18" s="7" customFormat="1" ht="12.75" hidden="1" customHeight="1" x14ac:dyDescent="0.2">
      <c r="A81" s="86" t="s">
        <v>66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8</v>
      </c>
      <c r="J81" s="36"/>
      <c r="K81" s="36"/>
      <c r="L81" s="36"/>
      <c r="M81" s="36"/>
      <c r="N81" s="36"/>
      <c r="O81" s="36"/>
      <c r="P81" s="36"/>
      <c r="Q81" s="36"/>
      <c r="R81" s="36"/>
    </row>
    <row r="82" spans="1:18" s="7" customFormat="1" ht="12.75" customHeight="1" x14ac:dyDescent="0.2">
      <c r="A82" s="86" t="s">
        <v>68</v>
      </c>
      <c r="B82" s="111"/>
      <c r="C82" s="111"/>
      <c r="E82" s="112">
        <v>5</v>
      </c>
      <c r="F82" s="113" t="s">
        <v>12</v>
      </c>
      <c r="G82" s="112" t="s">
        <v>67</v>
      </c>
      <c r="H82" s="112" t="s">
        <v>10</v>
      </c>
      <c r="J82" s="36">
        <v>72200</v>
      </c>
      <c r="K82" s="36"/>
      <c r="L82" s="36"/>
      <c r="M82" s="36"/>
      <c r="N82" s="36">
        <f t="shared" ref="N82" si="3">P82-L82</f>
        <v>370700</v>
      </c>
      <c r="O82" s="36"/>
      <c r="P82" s="36">
        <v>370700</v>
      </c>
      <c r="Q82" s="36"/>
      <c r="R82" s="36">
        <v>370700</v>
      </c>
    </row>
    <row r="83" spans="1:18" s="7" customFormat="1" ht="12.75" hidden="1" customHeight="1" x14ac:dyDescent="0.2">
      <c r="A83" s="86" t="s">
        <v>158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8</v>
      </c>
      <c r="J83" s="36"/>
      <c r="K83" s="36"/>
      <c r="L83" s="36"/>
      <c r="M83" s="36"/>
      <c r="N83" s="36"/>
      <c r="O83" s="36"/>
      <c r="P83" s="36"/>
      <c r="Q83" s="36"/>
      <c r="R83" s="36"/>
    </row>
    <row r="84" spans="1:18" s="7" customFormat="1" ht="12.75" hidden="1" customHeight="1" x14ac:dyDescent="0.2">
      <c r="A84" s="86" t="s">
        <v>159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10</v>
      </c>
      <c r="J84" s="36"/>
      <c r="K84" s="36"/>
      <c r="L84" s="36"/>
      <c r="M84" s="36"/>
      <c r="N84" s="36"/>
      <c r="O84" s="36"/>
      <c r="P84" s="36"/>
      <c r="Q84" s="36"/>
      <c r="R84" s="36"/>
    </row>
    <row r="85" spans="1:18" s="7" customFormat="1" ht="12.75" hidden="1" customHeight="1" x14ac:dyDescent="0.2">
      <c r="A85" s="86" t="s">
        <v>69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15</v>
      </c>
      <c r="J85" s="36"/>
      <c r="K85" s="36"/>
      <c r="L85" s="36"/>
      <c r="M85" s="36"/>
      <c r="N85" s="36"/>
      <c r="O85" s="36"/>
      <c r="P85" s="36"/>
      <c r="Q85" s="36"/>
      <c r="R85" s="36"/>
    </row>
    <row r="86" spans="1:18" s="7" customFormat="1" ht="12.75" hidden="1" customHeight="1" x14ac:dyDescent="0.2">
      <c r="A86" s="86" t="s">
        <v>160</v>
      </c>
      <c r="B86" s="111"/>
      <c r="C86" s="111"/>
      <c r="E86" s="112">
        <v>5</v>
      </c>
      <c r="F86" s="113" t="s">
        <v>12</v>
      </c>
      <c r="G86" s="112" t="s">
        <v>163</v>
      </c>
      <c r="H86" s="112" t="s">
        <v>8</v>
      </c>
      <c r="J86" s="36"/>
      <c r="K86" s="36"/>
      <c r="L86" s="36"/>
      <c r="M86" s="36"/>
      <c r="N86" s="36"/>
      <c r="O86" s="36"/>
      <c r="P86" s="36"/>
      <c r="Q86" s="36"/>
      <c r="R86" s="36"/>
    </row>
    <row r="87" spans="1:18" s="7" customFormat="1" ht="12.75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2" t="s">
        <v>163</v>
      </c>
      <c r="H87" s="114" t="s">
        <v>49</v>
      </c>
      <c r="J87" s="36"/>
      <c r="K87" s="36"/>
      <c r="L87" s="36"/>
      <c r="M87" s="36"/>
      <c r="N87" s="36"/>
      <c r="O87" s="36"/>
      <c r="P87" s="36"/>
      <c r="Q87" s="36"/>
      <c r="R87" s="36"/>
    </row>
    <row r="88" spans="1:18" s="7" customFormat="1" ht="12.75" hidden="1" customHeight="1" x14ac:dyDescent="0.2">
      <c r="A88" s="86" t="s">
        <v>71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10</v>
      </c>
      <c r="J88" s="36"/>
      <c r="K88" s="36"/>
      <c r="L88" s="36"/>
      <c r="M88" s="36"/>
      <c r="N88" s="36"/>
      <c r="O88" s="36"/>
      <c r="P88" s="36"/>
      <c r="Q88" s="36"/>
      <c r="R88" s="36"/>
    </row>
    <row r="89" spans="1:18" s="7" customFormat="1" ht="12.75" hidden="1" customHeight="1" x14ac:dyDescent="0.2">
      <c r="A89" s="86" t="s">
        <v>162</v>
      </c>
      <c r="B89" s="111"/>
      <c r="C89" s="111"/>
      <c r="E89" s="112">
        <v>5</v>
      </c>
      <c r="F89" s="113" t="s">
        <v>12</v>
      </c>
      <c r="G89" s="112" t="s">
        <v>163</v>
      </c>
      <c r="H89" s="112" t="s">
        <v>15</v>
      </c>
      <c r="J89" s="36"/>
      <c r="K89" s="36"/>
      <c r="L89" s="36"/>
      <c r="M89" s="36"/>
      <c r="N89" s="36"/>
      <c r="O89" s="36"/>
      <c r="P89" s="36"/>
      <c r="Q89" s="36"/>
      <c r="R89" s="36"/>
    </row>
    <row r="90" spans="1:18" s="7" customFormat="1" ht="12.75" hidden="1" customHeight="1" x14ac:dyDescent="0.2">
      <c r="A90" s="86" t="s">
        <v>72</v>
      </c>
      <c r="B90" s="111"/>
      <c r="C90" s="111"/>
      <c r="E90" s="112">
        <v>5</v>
      </c>
      <c r="F90" s="113" t="s">
        <v>12</v>
      </c>
      <c r="G90" s="112" t="s">
        <v>70</v>
      </c>
      <c r="H90" s="112" t="s">
        <v>49</v>
      </c>
      <c r="J90" s="36"/>
      <c r="K90" s="36"/>
      <c r="L90" s="36"/>
      <c r="M90" s="36"/>
      <c r="N90" s="36"/>
      <c r="O90" s="36"/>
      <c r="P90" s="36"/>
      <c r="Q90" s="36"/>
      <c r="R90" s="36"/>
    </row>
    <row r="91" spans="1:18" s="7" customFormat="1" ht="12.75" hidden="1" customHeight="1" x14ac:dyDescent="0.2">
      <c r="A91" s="86" t="s">
        <v>164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10</v>
      </c>
      <c r="J91" s="36"/>
      <c r="K91" s="36"/>
      <c r="L91" s="36"/>
      <c r="M91" s="36"/>
      <c r="N91" s="36"/>
      <c r="O91" s="36"/>
      <c r="P91" s="36"/>
      <c r="Q91" s="36"/>
      <c r="R91" s="36"/>
    </row>
    <row r="92" spans="1:18" s="7" customFormat="1" ht="12.75" hidden="1" customHeight="1" x14ac:dyDescent="0.2">
      <c r="A92" s="86" t="s">
        <v>165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15</v>
      </c>
      <c r="J92" s="36"/>
      <c r="K92" s="36"/>
      <c r="L92" s="36"/>
      <c r="M92" s="36"/>
      <c r="N92" s="36"/>
      <c r="O92" s="36"/>
      <c r="P92" s="36"/>
      <c r="Q92" s="36"/>
      <c r="R92" s="36"/>
    </row>
    <row r="93" spans="1:18" s="7" customFormat="1" ht="12.75" hidden="1" customHeight="1" x14ac:dyDescent="0.2">
      <c r="A93" s="86" t="s">
        <v>166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17</v>
      </c>
      <c r="J93" s="36"/>
      <c r="K93" s="36"/>
      <c r="L93" s="36"/>
      <c r="M93" s="36"/>
      <c r="N93" s="36"/>
      <c r="O93" s="36"/>
      <c r="P93" s="36"/>
      <c r="Q93" s="36"/>
      <c r="R93" s="36"/>
    </row>
    <row r="94" spans="1:18" s="7" customFormat="1" ht="12.75" hidden="1" customHeight="1" x14ac:dyDescent="0.2">
      <c r="A94" s="86" t="s">
        <v>167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8</v>
      </c>
      <c r="J94" s="36"/>
      <c r="K94" s="36"/>
      <c r="L94" s="36"/>
      <c r="M94" s="36"/>
      <c r="N94" s="36"/>
      <c r="O94" s="36"/>
      <c r="P94" s="36"/>
      <c r="Q94" s="36"/>
      <c r="R94" s="36"/>
    </row>
    <row r="95" spans="1:18" s="7" customFormat="1" ht="12.75" hidden="1" customHeight="1" x14ac:dyDescent="0.2">
      <c r="A95" s="86" t="s">
        <v>168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45</v>
      </c>
      <c r="J95" s="36"/>
      <c r="K95" s="36"/>
      <c r="L95" s="36"/>
      <c r="M95" s="36"/>
      <c r="N95" s="36"/>
      <c r="O95" s="36"/>
      <c r="P95" s="36"/>
      <c r="Q95" s="36"/>
      <c r="R95" s="36"/>
    </row>
    <row r="96" spans="1:18" s="7" customFormat="1" ht="12.75" hidden="1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/>
      <c r="K96" s="36"/>
      <c r="L96" s="36"/>
      <c r="M96" s="36"/>
      <c r="N96" s="36">
        <f t="shared" ref="N96:N113" si="4">P96-L96</f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4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4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4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4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4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4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4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4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4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4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4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4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4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4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4"/>
        <v>0</v>
      </c>
      <c r="O111" s="36"/>
      <c r="P111" s="36"/>
      <c r="Q111" s="36"/>
      <c r="R111" s="36"/>
    </row>
    <row r="112" spans="1:18" s="7" customFormat="1" ht="12.75" hidden="1" customHeight="1" x14ac:dyDescent="0.2">
      <c r="A112" s="86" t="s">
        <v>318</v>
      </c>
      <c r="B112" s="111"/>
      <c r="C112" s="111"/>
      <c r="E112" s="112">
        <v>5</v>
      </c>
      <c r="F112" s="113" t="s">
        <v>12</v>
      </c>
      <c r="G112" s="112" t="s">
        <v>74</v>
      </c>
      <c r="H112" s="112" t="s">
        <v>64</v>
      </c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s="7" customFormat="1" ht="12.75" customHeight="1" x14ac:dyDescent="0.2">
      <c r="A113" s="86" t="s">
        <v>260</v>
      </c>
      <c r="B113" s="111"/>
      <c r="C113" s="111"/>
      <c r="E113" s="112">
        <v>5</v>
      </c>
      <c r="F113" s="113" t="s">
        <v>12</v>
      </c>
      <c r="G113" s="134">
        <v>99</v>
      </c>
      <c r="H113" s="135">
        <v>990</v>
      </c>
      <c r="J113" s="36">
        <v>225887</v>
      </c>
      <c r="K113" s="36"/>
      <c r="L113" s="36"/>
      <c r="M113" s="36"/>
      <c r="N113" s="36">
        <f t="shared" si="4"/>
        <v>2276000</v>
      </c>
      <c r="O113" s="36"/>
      <c r="P113" s="36">
        <v>2276000</v>
      </c>
      <c r="Q113" s="36"/>
      <c r="R113" s="36">
        <v>2635200</v>
      </c>
    </row>
    <row r="114" spans="1:18" s="7" customFormat="1" ht="18.95" customHeight="1" x14ac:dyDescent="0.2">
      <c r="A114" s="323" t="s">
        <v>191</v>
      </c>
      <c r="B114" s="323"/>
      <c r="C114" s="323"/>
      <c r="J114" s="161">
        <f>SUM(J47:J113)</f>
        <v>635897</v>
      </c>
      <c r="K114" s="162"/>
      <c r="L114" s="161">
        <f>SUM(L47:L113)</f>
        <v>21840</v>
      </c>
      <c r="M114" s="36"/>
      <c r="N114" s="161">
        <f>SUM(N47:N113)</f>
        <v>7288411</v>
      </c>
      <c r="O114" s="36"/>
      <c r="P114" s="161">
        <f>SUM(P47:P113)</f>
        <v>7310251</v>
      </c>
      <c r="Q114" s="36"/>
      <c r="R114" s="161">
        <f>SUM(R47:R113)</f>
        <v>6578040</v>
      </c>
    </row>
    <row r="115" spans="1:18" s="7" customFormat="1" ht="6" customHeight="1" x14ac:dyDescent="0.2">
      <c r="A115" s="20"/>
      <c r="B115" s="20"/>
      <c r="C115" s="20"/>
      <c r="J115" s="162"/>
      <c r="K115" s="162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69" t="s">
        <v>189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109</v>
      </c>
      <c r="E117" s="112">
        <v>5</v>
      </c>
      <c r="F117" s="113" t="s">
        <v>29</v>
      </c>
      <c r="G117" s="112" t="s">
        <v>7</v>
      </c>
      <c r="H117" s="112" t="s">
        <v>17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180</v>
      </c>
      <c r="E118" s="112">
        <v>5</v>
      </c>
      <c r="F118" s="113" t="s">
        <v>29</v>
      </c>
      <c r="G118" s="112" t="s">
        <v>7</v>
      </c>
      <c r="H118" s="112" t="s">
        <v>64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181</v>
      </c>
      <c r="E120" s="112">
        <v>5</v>
      </c>
      <c r="F120" s="113" t="s">
        <v>29</v>
      </c>
      <c r="G120" s="112" t="s">
        <v>7</v>
      </c>
      <c r="H120" s="114" t="s">
        <v>49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182</v>
      </c>
      <c r="E121" s="112">
        <v>5</v>
      </c>
      <c r="F121" s="113" t="s">
        <v>29</v>
      </c>
      <c r="G121" s="112" t="s">
        <v>7</v>
      </c>
      <c r="H121" s="112" t="s">
        <v>10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181</v>
      </c>
      <c r="E122" s="112">
        <v>5</v>
      </c>
      <c r="F122" s="113" t="s">
        <v>29</v>
      </c>
      <c r="G122" s="112" t="s">
        <v>7</v>
      </c>
      <c r="H122" s="114" t="s">
        <v>49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183</v>
      </c>
      <c r="E123" s="112">
        <v>5</v>
      </c>
      <c r="F123" s="113" t="s">
        <v>29</v>
      </c>
      <c r="G123" s="112" t="s">
        <v>7</v>
      </c>
      <c r="H123" s="112" t="s">
        <v>8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2" hidden="1" customHeight="1" x14ac:dyDescent="0.2">
      <c r="A124" s="86" t="s">
        <v>184</v>
      </c>
      <c r="E124" s="112">
        <v>5</v>
      </c>
      <c r="F124" s="113" t="s">
        <v>29</v>
      </c>
      <c r="G124" s="112" t="s">
        <v>7</v>
      </c>
      <c r="H124" s="112" t="s">
        <v>15</v>
      </c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8.95" hidden="1" customHeight="1" x14ac:dyDescent="0.2">
      <c r="A125" s="63" t="s">
        <v>185</v>
      </c>
      <c r="J125" s="171">
        <f>SUM(J117:J124)</f>
        <v>0</v>
      </c>
      <c r="K125" s="172"/>
      <c r="L125" s="171">
        <f>SUM(L117:L124)</f>
        <v>0</v>
      </c>
      <c r="M125" s="172"/>
      <c r="N125" s="171">
        <f>SUM(N117:N124)</f>
        <v>0</v>
      </c>
      <c r="O125" s="172"/>
      <c r="P125" s="171">
        <f>SUM(P117:P124)</f>
        <v>0</v>
      </c>
      <c r="Q125" s="172"/>
      <c r="R125" s="171">
        <f>SUM(R117:R124)</f>
        <v>0</v>
      </c>
    </row>
    <row r="126" spans="1:18" s="7" customFormat="1" ht="6" hidden="1" customHeight="1" x14ac:dyDescent="0.2"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68" t="s">
        <v>190</v>
      </c>
      <c r="B127" s="11"/>
      <c r="C127" s="11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11" t="s">
        <v>89</v>
      </c>
      <c r="B128" s="24"/>
      <c r="C128" s="24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70" t="s">
        <v>90</v>
      </c>
      <c r="B129" s="9"/>
      <c r="C129" s="9"/>
      <c r="E129" s="112">
        <v>1</v>
      </c>
      <c r="F129" s="113" t="s">
        <v>12</v>
      </c>
      <c r="G129" s="112" t="s">
        <v>54</v>
      </c>
      <c r="H129" s="114" t="s">
        <v>10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92</v>
      </c>
      <c r="B130" s="111"/>
      <c r="C130" s="111"/>
      <c r="E130" s="112">
        <v>1</v>
      </c>
      <c r="F130" s="113" t="s">
        <v>93</v>
      </c>
      <c r="G130" s="112" t="s">
        <v>7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94</v>
      </c>
      <c r="B131" s="111"/>
      <c r="C131" s="111"/>
      <c r="E131" s="112">
        <v>1</v>
      </c>
      <c r="F131" s="113" t="s">
        <v>93</v>
      </c>
      <c r="G131" s="112" t="s">
        <v>34</v>
      </c>
      <c r="H131" s="112" t="s">
        <v>8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95</v>
      </c>
      <c r="B132" s="116"/>
      <c r="C132" s="116"/>
      <c r="E132" s="112">
        <v>1</v>
      </c>
      <c r="F132" s="113" t="s">
        <v>93</v>
      </c>
      <c r="G132" s="112" t="s">
        <v>34</v>
      </c>
      <c r="H132" s="112" t="s">
        <v>49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hidden="1" customHeight="1" x14ac:dyDescent="0.2">
      <c r="A133" s="86" t="s">
        <v>96</v>
      </c>
      <c r="B133" s="116"/>
      <c r="C133" s="116"/>
      <c r="D133" s="113"/>
      <c r="E133" s="112">
        <v>1</v>
      </c>
      <c r="F133" s="113" t="s">
        <v>93</v>
      </c>
      <c r="G133" s="112" t="s">
        <v>54</v>
      </c>
      <c r="H133" s="112" t="s">
        <v>10</v>
      </c>
      <c r="J133" s="36"/>
      <c r="K133" s="36"/>
      <c r="L133" s="36"/>
      <c r="M133" s="36"/>
      <c r="N133" s="36">
        <f t="shared" ref="N133" si="5">P133-L133</f>
        <v>0</v>
      </c>
      <c r="O133" s="36"/>
      <c r="P133" s="36"/>
      <c r="Q133" s="36"/>
      <c r="R133" s="36"/>
    </row>
    <row r="134" spans="1:18" s="7" customFormat="1" ht="12.75" hidden="1" customHeight="1" x14ac:dyDescent="0.2">
      <c r="A134" s="86" t="s">
        <v>97</v>
      </c>
      <c r="B134" s="111"/>
      <c r="C134" s="111"/>
      <c r="E134" s="112">
        <v>1</v>
      </c>
      <c r="F134" s="113" t="s">
        <v>93</v>
      </c>
      <c r="G134" s="112" t="s">
        <v>93</v>
      </c>
      <c r="H134" s="112" t="s">
        <v>8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hidden="1" customHeight="1" x14ac:dyDescent="0.2">
      <c r="A135" s="86" t="s">
        <v>98</v>
      </c>
      <c r="B135" s="116"/>
      <c r="C135" s="116"/>
      <c r="E135" s="112">
        <v>1</v>
      </c>
      <c r="F135" s="113" t="s">
        <v>93</v>
      </c>
      <c r="G135" s="112" t="s">
        <v>54</v>
      </c>
      <c r="H135" s="112" t="s">
        <v>15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hidden="1" customHeight="1" x14ac:dyDescent="0.2">
      <c r="A136" s="86" t="s">
        <v>99</v>
      </c>
      <c r="B136" s="116"/>
      <c r="C136" s="116"/>
      <c r="D136" s="113"/>
      <c r="E136" s="112">
        <v>1</v>
      </c>
      <c r="F136" s="113" t="s">
        <v>93</v>
      </c>
      <c r="G136" s="112" t="s">
        <v>93</v>
      </c>
      <c r="H136" s="112" t="s">
        <v>10</v>
      </c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100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19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175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82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176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45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177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146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101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102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103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24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104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28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105</v>
      </c>
      <c r="B144" s="111"/>
      <c r="C144" s="111"/>
      <c r="D144" s="113"/>
      <c r="E144" s="112">
        <v>1</v>
      </c>
      <c r="F144" s="113" t="s">
        <v>93</v>
      </c>
      <c r="G144" s="112" t="s">
        <v>54</v>
      </c>
      <c r="H144" s="114" t="s">
        <v>49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106</v>
      </c>
      <c r="B145" s="111"/>
      <c r="C145" s="111"/>
      <c r="D145" s="113"/>
      <c r="E145" s="112">
        <v>1</v>
      </c>
      <c r="F145" s="113" t="s">
        <v>93</v>
      </c>
      <c r="G145" s="112" t="s">
        <v>67</v>
      </c>
      <c r="H145" s="112" t="s">
        <v>8</v>
      </c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107</v>
      </c>
      <c r="B146" s="111"/>
      <c r="C146" s="111"/>
      <c r="D146" s="113"/>
      <c r="E146" s="112">
        <v>1</v>
      </c>
      <c r="F146" s="113" t="s">
        <v>93</v>
      </c>
      <c r="G146" s="112" t="s">
        <v>59</v>
      </c>
      <c r="H146" s="114" t="s">
        <v>49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178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8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179</v>
      </c>
      <c r="B148" s="111"/>
      <c r="C148" s="111"/>
      <c r="D148" s="113"/>
      <c r="E148" s="112">
        <v>1</v>
      </c>
      <c r="F148" s="113" t="s">
        <v>93</v>
      </c>
      <c r="G148" s="112" t="s">
        <v>29</v>
      </c>
      <c r="H148" s="112" t="s">
        <v>45</v>
      </c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27" customFormat="1" ht="18.95" hidden="1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M149" s="172"/>
      <c r="N149" s="21">
        <f>SUM(N130:N144)</f>
        <v>0</v>
      </c>
      <c r="O149" s="172"/>
      <c r="P149" s="21">
        <f>SUM(P130:P148)</f>
        <v>0</v>
      </c>
      <c r="Q149" s="172"/>
      <c r="R149" s="21">
        <f>SUM(R133:R148)</f>
        <v>0</v>
      </c>
    </row>
    <row r="150" spans="1:18" s="7" customFormat="1" ht="6" hidden="1" customHeight="1" x14ac:dyDescent="0.2"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J43+J114+J125+J149</f>
        <v>15883882.180000002</v>
      </c>
      <c r="K151" s="23"/>
      <c r="L151" s="29">
        <f>L43+L114+L125+L149</f>
        <v>6322721.6299999999</v>
      </c>
      <c r="M151" s="36"/>
      <c r="N151" s="29">
        <f>N43+N114+N125+N149</f>
        <v>21437208.780000001</v>
      </c>
      <c r="O151" s="36"/>
      <c r="P151" s="29">
        <f>P43+P114+P125+P149</f>
        <v>27759930.41</v>
      </c>
      <c r="Q151" s="36"/>
      <c r="R151" s="29">
        <f>R43+R114+R149</f>
        <v>23933424.580000002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321" t="s">
        <v>133</v>
      </c>
      <c r="B155" s="321"/>
      <c r="C155" s="321"/>
      <c r="D155" s="33"/>
      <c r="E155" s="32"/>
      <c r="G155" s="31"/>
      <c r="I155" s="31"/>
      <c r="J155" s="321" t="s">
        <v>276</v>
      </c>
      <c r="K155" s="321"/>
      <c r="L155" s="321"/>
      <c r="M155" s="47"/>
      <c r="N155" s="49"/>
      <c r="O155" s="49"/>
      <c r="P155" s="311" t="s">
        <v>135</v>
      </c>
      <c r="Q155" s="311"/>
      <c r="R155" s="311"/>
    </row>
    <row r="156" spans="1:18" x14ac:dyDescent="0.2">
      <c r="A156" s="168"/>
      <c r="B156" s="168"/>
      <c r="C156" s="168"/>
      <c r="D156" s="33"/>
      <c r="E156" s="32"/>
      <c r="G156" s="31"/>
      <c r="I156" s="31"/>
      <c r="J156" s="168"/>
      <c r="K156" s="168"/>
      <c r="L156" s="168"/>
      <c r="M156" s="47"/>
      <c r="N156" s="49"/>
      <c r="O156" s="49"/>
      <c r="P156" s="165"/>
      <c r="Q156" s="165"/>
      <c r="R156" s="165"/>
    </row>
    <row r="157" spans="1:18" x14ac:dyDescent="0.2">
      <c r="A157" s="50"/>
      <c r="D157" s="33"/>
      <c r="E157" s="51"/>
      <c r="G157" s="31"/>
      <c r="I157" s="31"/>
      <c r="J157" s="168"/>
      <c r="M157" s="168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322" t="s">
        <v>296</v>
      </c>
      <c r="B159" s="322"/>
      <c r="C159" s="322"/>
      <c r="D159" s="55"/>
      <c r="E159" s="56"/>
      <c r="G159" s="31"/>
      <c r="I159" s="31"/>
      <c r="J159" s="322" t="s">
        <v>291</v>
      </c>
      <c r="K159" s="322"/>
      <c r="L159" s="322"/>
      <c r="M159" s="57"/>
      <c r="N159" s="59"/>
      <c r="O159" s="59"/>
      <c r="P159" s="312" t="s">
        <v>137</v>
      </c>
      <c r="Q159" s="312"/>
      <c r="R159" s="312"/>
    </row>
    <row r="160" spans="1:18" x14ac:dyDescent="0.2">
      <c r="A160" s="321" t="s">
        <v>297</v>
      </c>
      <c r="B160" s="321"/>
      <c r="C160" s="321"/>
      <c r="D160" s="31"/>
      <c r="E160" s="32"/>
      <c r="G160" s="31"/>
      <c r="I160" s="31"/>
      <c r="J160" s="321" t="s">
        <v>269</v>
      </c>
      <c r="K160" s="321"/>
      <c r="L160" s="321"/>
      <c r="M160" s="33"/>
      <c r="N160" s="35"/>
      <c r="O160" s="35"/>
      <c r="P160" s="313" t="s">
        <v>139</v>
      </c>
      <c r="Q160" s="313"/>
      <c r="R160" s="313"/>
    </row>
  </sheetData>
  <customSheetViews>
    <customSheetView guid="{1998FCB8-1FEB-4076-ACE6-A225EE4366B3}" showPageBreaks="1" printArea="1" hiddenRows="1" view="pageBreakPreview">
      <pane xSplit="1" ySplit="14" topLeftCell="B49" activePane="bottomRight" state="frozen"/>
      <selection pane="bottomRight" activeCell="A112" sqref="A112:XFD112"/>
      <rowBreaks count="1" manualBreakCount="1">
        <brk id="4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12" activePane="bottomRight" state="frozen"/>
      <selection pane="bottomRight" activeCell="C126" sqref="C126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80" activePane="bottomRight" state="frozen"/>
      <selection pane="bottomRight" activeCell="R42" sqref="R42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27" activePane="bottomRight" state="frozen"/>
      <selection pane="bottomRight" activeCell="P160" sqref="P160:R160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6" activePane="bottomRight" state="frozen"/>
      <selection pane="bottomRight" activeCell="R113" sqref="R113"/>
      <rowBreaks count="1" manualBreakCount="1">
        <brk id="62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&amp;C&amp;"Arial Narrow,Regular"&amp;9Page &amp;P of &amp;N</oddFooter>
      </headerFooter>
    </customSheetView>
  </customSheetViews>
  <mergeCells count="18"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  <mergeCell ref="A13:C13"/>
    <mergeCell ref="E13:H13"/>
    <mergeCell ref="A114:C11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43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59"/>
  <sheetViews>
    <sheetView view="pageBreakPreview" zoomScaleNormal="85" zoomScaleSheetLayoutView="100" workbookViewId="0">
      <pane xSplit="1" ySplit="14" topLeftCell="B57" activePane="bottomRight" state="frozen"/>
      <selection pane="topRight" activeCell="B1" sqref="B1"/>
      <selection pane="bottomLeft" activeCell="A15" sqref="A15"/>
      <selection pane="bottomRight" activeCell="C6" sqref="C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202</v>
      </c>
      <c r="H4" s="3"/>
      <c r="I4" s="3"/>
      <c r="R4" s="77">
        <v>1041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326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9191883.2799999993</v>
      </c>
      <c r="K17" s="13"/>
      <c r="L17" s="36">
        <v>4577763.1399999997</v>
      </c>
      <c r="M17" s="36"/>
      <c r="N17" s="36">
        <f t="shared" ref="N17:N22" si="0">P17-L17</f>
        <v>7547708.080000001</v>
      </c>
      <c r="O17" s="36"/>
      <c r="P17" s="36">
        <v>12125471.220000001</v>
      </c>
      <c r="Q17" s="36"/>
      <c r="R17" s="36">
        <v>13260810.789999999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>
        <f t="shared" si="0"/>
        <v>0</v>
      </c>
      <c r="O18" s="36"/>
      <c r="P18" s="36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627068.99</v>
      </c>
      <c r="K19" s="13"/>
      <c r="L19" s="36">
        <v>309909.09000000003</v>
      </c>
      <c r="M19" s="36"/>
      <c r="N19" s="36">
        <f t="shared" si="0"/>
        <v>448090.91</v>
      </c>
      <c r="O19" s="36"/>
      <c r="P19" s="36">
        <v>758000</v>
      </c>
      <c r="Q19" s="36"/>
      <c r="R19" s="36">
        <v>792000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68000</v>
      </c>
      <c r="K20" s="13"/>
      <c r="L20" s="36">
        <v>46750</v>
      </c>
      <c r="M20" s="36"/>
      <c r="N20" s="36">
        <f t="shared" si="0"/>
        <v>55250</v>
      </c>
      <c r="O20" s="36"/>
      <c r="P20" s="36">
        <v>102000</v>
      </c>
      <c r="Q20" s="36"/>
      <c r="R20" s="36">
        <v>102000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89">
        <v>8500</v>
      </c>
      <c r="K21" s="13"/>
      <c r="L21" s="36"/>
      <c r="M21" s="36"/>
      <c r="N21" s="36">
        <f t="shared" si="0"/>
        <v>102000</v>
      </c>
      <c r="O21" s="36"/>
      <c r="P21" s="36">
        <v>102000</v>
      </c>
      <c r="Q21" s="36"/>
      <c r="R21" s="36">
        <v>102000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150000</v>
      </c>
      <c r="K22" s="13"/>
      <c r="L22" s="36">
        <v>144000</v>
      </c>
      <c r="M22" s="36"/>
      <c r="N22" s="36">
        <f t="shared" si="0"/>
        <v>54000</v>
      </c>
      <c r="O22" s="36"/>
      <c r="P22" s="36">
        <v>198000</v>
      </c>
      <c r="Q22" s="36"/>
      <c r="R22" s="36">
        <v>198000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143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45</v>
      </c>
      <c r="J24" s="13"/>
      <c r="K24" s="13"/>
      <c r="L24" s="36"/>
      <c r="M24" s="36"/>
      <c r="N24" s="36"/>
      <c r="O24" s="36"/>
      <c r="P24" s="36"/>
      <c r="Q24" s="36"/>
      <c r="R24" s="36"/>
    </row>
    <row r="25" spans="1:18" s="7" customFormat="1" ht="12.75" hidden="1" customHeight="1" x14ac:dyDescent="0.2">
      <c r="A25" s="86" t="s">
        <v>144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60</v>
      </c>
      <c r="J25" s="13"/>
      <c r="K25" s="13"/>
      <c r="L25" s="36"/>
      <c r="M25" s="36"/>
      <c r="N25" s="36">
        <f t="shared" ref="N25:N41" si="1">P25-L25</f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18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19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hidden="1" customHeight="1" x14ac:dyDescent="0.2">
      <c r="A27" s="86" t="s">
        <v>21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102</v>
      </c>
      <c r="J27" s="13"/>
      <c r="K27" s="13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18" s="7" customFormat="1" ht="12.75" customHeight="1" x14ac:dyDescent="0.2">
      <c r="A28" s="86" t="s">
        <v>22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146</v>
      </c>
      <c r="J28" s="13"/>
      <c r="K28" s="13"/>
      <c r="L28" s="36">
        <v>43000</v>
      </c>
      <c r="M28" s="36"/>
      <c r="N28" s="36">
        <f t="shared" si="1"/>
        <v>83000</v>
      </c>
      <c r="O28" s="36"/>
      <c r="P28" s="36">
        <v>126000</v>
      </c>
      <c r="Q28" s="36"/>
      <c r="R28" s="36"/>
    </row>
    <row r="29" spans="1:18" s="7" customFormat="1" ht="12.75" hidden="1" customHeight="1" x14ac:dyDescent="0.2">
      <c r="A29" s="86" t="s">
        <v>145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47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23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24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customHeight="1" x14ac:dyDescent="0.2">
      <c r="A31" s="86" t="s">
        <v>27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28</v>
      </c>
      <c r="J31" s="36">
        <v>766243</v>
      </c>
      <c r="K31" s="36"/>
      <c r="L31" s="163"/>
      <c r="M31" s="36"/>
      <c r="N31" s="36">
        <f>P31-L31</f>
        <v>1095107</v>
      </c>
      <c r="O31" s="36"/>
      <c r="P31" s="36">
        <v>1095107</v>
      </c>
      <c r="Q31" s="36"/>
      <c r="R31" s="36">
        <v>1105981</v>
      </c>
    </row>
    <row r="32" spans="1:18" s="7" customFormat="1" ht="12.75" customHeight="1" x14ac:dyDescent="0.2">
      <c r="A32" s="86" t="s">
        <v>25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26</v>
      </c>
      <c r="J32" s="36">
        <v>132500</v>
      </c>
      <c r="K32" s="36"/>
      <c r="L32" s="163"/>
      <c r="M32" s="36"/>
      <c r="N32" s="36">
        <f t="shared" si="1"/>
        <v>160000</v>
      </c>
      <c r="O32" s="36"/>
      <c r="P32" s="36">
        <v>160000</v>
      </c>
      <c r="Q32" s="36"/>
      <c r="R32" s="36">
        <v>165000</v>
      </c>
    </row>
    <row r="33" spans="1:18" s="7" customFormat="1" ht="12.75" customHeight="1" x14ac:dyDescent="0.2">
      <c r="A33" s="86" t="s">
        <v>140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49</v>
      </c>
      <c r="J33" s="13">
        <v>733602</v>
      </c>
      <c r="K33" s="13"/>
      <c r="L33" s="36">
        <v>770370</v>
      </c>
      <c r="M33" s="36"/>
      <c r="N33" s="36">
        <f>P33-L33</f>
        <v>231331</v>
      </c>
      <c r="O33" s="36"/>
      <c r="P33" s="36">
        <v>1001701</v>
      </c>
      <c r="Q33" s="36"/>
      <c r="R33" s="36">
        <v>1105981</v>
      </c>
    </row>
    <row r="34" spans="1:18" s="7" customFormat="1" ht="12.75" customHeight="1" x14ac:dyDescent="0.2">
      <c r="A34" s="86" t="s">
        <v>263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8</v>
      </c>
      <c r="J34" s="36">
        <v>1104907.05</v>
      </c>
      <c r="K34" s="36"/>
      <c r="L34" s="36">
        <v>547415.12</v>
      </c>
      <c r="M34" s="36"/>
      <c r="N34" s="36">
        <f t="shared" si="1"/>
        <v>979495.36</v>
      </c>
      <c r="O34" s="36"/>
      <c r="P34" s="36">
        <v>1526910.48</v>
      </c>
      <c r="Q34" s="36"/>
      <c r="R34" s="36">
        <v>1592612.64</v>
      </c>
    </row>
    <row r="35" spans="1:18" s="7" customFormat="1" ht="12.75" customHeight="1" x14ac:dyDescent="0.2">
      <c r="A35" s="86" t="s">
        <v>30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10</v>
      </c>
      <c r="J35" s="36">
        <v>31500</v>
      </c>
      <c r="K35" s="36"/>
      <c r="L35" s="36">
        <v>15400</v>
      </c>
      <c r="M35" s="36"/>
      <c r="N35" s="36">
        <f t="shared" si="1"/>
        <v>22500</v>
      </c>
      <c r="O35" s="36"/>
      <c r="P35" s="36">
        <v>37900</v>
      </c>
      <c r="Q35" s="36"/>
      <c r="R35" s="36">
        <v>39600</v>
      </c>
    </row>
    <row r="36" spans="1:18" s="7" customFormat="1" ht="12.75" customHeight="1" x14ac:dyDescent="0.2">
      <c r="A36" s="86" t="s">
        <v>31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15</v>
      </c>
      <c r="J36" s="36">
        <v>113934.88</v>
      </c>
      <c r="K36" s="36"/>
      <c r="L36" s="36">
        <v>66554.679999999993</v>
      </c>
      <c r="M36" s="36"/>
      <c r="N36" s="36">
        <f t="shared" si="1"/>
        <v>108472.67000000001</v>
      </c>
      <c r="O36" s="36"/>
      <c r="P36" s="36">
        <v>175027.35</v>
      </c>
      <c r="Q36" s="36"/>
      <c r="R36" s="36">
        <v>222953.43</v>
      </c>
    </row>
    <row r="37" spans="1:18" s="7" customFormat="1" ht="12.75" customHeight="1" x14ac:dyDescent="0.2">
      <c r="A37" s="86" t="s">
        <v>32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17</v>
      </c>
      <c r="J37" s="36">
        <v>31600</v>
      </c>
      <c r="K37" s="36"/>
      <c r="L37" s="36">
        <v>15400</v>
      </c>
      <c r="M37" s="36"/>
      <c r="N37" s="36">
        <f t="shared" si="1"/>
        <v>22500</v>
      </c>
      <c r="O37" s="36"/>
      <c r="P37" s="36">
        <v>37900</v>
      </c>
      <c r="Q37" s="36"/>
      <c r="R37" s="36">
        <v>39600</v>
      </c>
    </row>
    <row r="38" spans="1:18" s="7" customFormat="1" ht="12.75" hidden="1" customHeight="1" x14ac:dyDescent="0.2">
      <c r="A38" s="86" t="s">
        <v>147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8</v>
      </c>
      <c r="J38" s="36"/>
      <c r="K38" s="36"/>
      <c r="L38" s="36"/>
      <c r="M38" s="36"/>
      <c r="N38" s="36">
        <f t="shared" si="1"/>
        <v>0</v>
      </c>
      <c r="O38" s="36"/>
      <c r="P38" s="36"/>
      <c r="Q38" s="36"/>
      <c r="R38" s="36"/>
    </row>
    <row r="39" spans="1:18" s="7" customFormat="1" ht="12.75" hidden="1" customHeight="1" x14ac:dyDescent="0.2">
      <c r="A39" s="86" t="s">
        <v>148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10</v>
      </c>
      <c r="J39" s="36"/>
      <c r="K39" s="36"/>
      <c r="L39" s="36"/>
      <c r="M39" s="36"/>
      <c r="N39" s="36">
        <f t="shared" si="1"/>
        <v>0</v>
      </c>
      <c r="O39" s="36"/>
      <c r="P39" s="36"/>
      <c r="Q39" s="36"/>
      <c r="R39" s="36"/>
    </row>
    <row r="40" spans="1:18" s="7" customFormat="1" ht="12.75" customHeight="1" x14ac:dyDescent="0.2">
      <c r="A40" s="86" t="s">
        <v>33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15</v>
      </c>
      <c r="J40" s="36">
        <v>915698.38</v>
      </c>
      <c r="K40" s="36"/>
      <c r="L40" s="36"/>
      <c r="M40" s="36"/>
      <c r="N40" s="36">
        <f t="shared" si="1"/>
        <v>1308758.94</v>
      </c>
      <c r="O40" s="36"/>
      <c r="P40" s="36">
        <v>1308758.94</v>
      </c>
      <c r="Q40" s="36"/>
      <c r="R40" s="36"/>
    </row>
    <row r="41" spans="1:18" s="7" customFormat="1" ht="12.75" customHeight="1" x14ac:dyDescent="0.2">
      <c r="A41" s="86" t="s">
        <v>35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49</v>
      </c>
      <c r="J41" s="36">
        <v>135000</v>
      </c>
      <c r="K41" s="36"/>
      <c r="L41" s="163"/>
      <c r="M41" s="36"/>
      <c r="N41" s="36">
        <f t="shared" si="1"/>
        <v>170000</v>
      </c>
      <c r="O41" s="36"/>
      <c r="P41" s="36">
        <v>170000</v>
      </c>
      <c r="Q41" s="36"/>
      <c r="R41" s="36">
        <v>165000</v>
      </c>
    </row>
    <row r="42" spans="1:18" s="7" customFormat="1" ht="12.75" hidden="1" customHeight="1" x14ac:dyDescent="0.2">
      <c r="A42" s="86" t="s">
        <v>149</v>
      </c>
      <c r="B42" s="111"/>
      <c r="C42" s="111"/>
      <c r="D42" s="112"/>
      <c r="E42" s="112">
        <v>5</v>
      </c>
      <c r="F42" s="113" t="s">
        <v>7</v>
      </c>
      <c r="G42" s="112" t="s">
        <v>29</v>
      </c>
      <c r="H42" s="112" t="s">
        <v>64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s="7" customFormat="1" ht="18.95" customHeight="1" x14ac:dyDescent="0.2">
      <c r="A43" s="63" t="s">
        <v>36</v>
      </c>
      <c r="B43" s="26"/>
      <c r="C43" s="26"/>
      <c r="J43" s="161">
        <f>SUM(J17:J42)</f>
        <v>14010437.580000002</v>
      </c>
      <c r="K43" s="162"/>
      <c r="L43" s="161">
        <f>SUM(L17:L42)</f>
        <v>6536562.0299999993</v>
      </c>
      <c r="M43" s="36"/>
      <c r="N43" s="161">
        <f>SUM(N17:N42)</f>
        <v>12388213.960000001</v>
      </c>
      <c r="O43" s="36"/>
      <c r="P43" s="161">
        <f>SUM(P17:P42)</f>
        <v>18924775.990000002</v>
      </c>
      <c r="Q43" s="36"/>
      <c r="R43" s="161">
        <f>SUM(R17:R42)</f>
        <v>18891538.859999999</v>
      </c>
    </row>
    <row r="44" spans="1:18" s="7" customFormat="1" ht="6" customHeight="1" x14ac:dyDescent="0.2">
      <c r="A44" s="17"/>
      <c r="B44" s="17"/>
      <c r="C44" s="17"/>
      <c r="J44" s="162"/>
      <c r="K44" s="162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68" t="s">
        <v>188</v>
      </c>
      <c r="B45" s="12"/>
      <c r="C45" s="12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7" customFormat="1" ht="6" customHeight="1" x14ac:dyDescent="0.2">
      <c r="A46" s="68"/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12.75" customHeight="1" x14ac:dyDescent="0.2">
      <c r="A47" s="86" t="s">
        <v>37</v>
      </c>
      <c r="B47" s="111"/>
      <c r="C47" s="111"/>
      <c r="D47" s="112"/>
      <c r="E47" s="112">
        <v>5</v>
      </c>
      <c r="F47" s="113" t="s">
        <v>12</v>
      </c>
      <c r="G47" s="112" t="s">
        <v>7</v>
      </c>
      <c r="H47" s="112" t="s">
        <v>8</v>
      </c>
      <c r="J47" s="36">
        <v>44966</v>
      </c>
      <c r="K47" s="36"/>
      <c r="L47" s="163"/>
      <c r="M47" s="36"/>
      <c r="N47" s="36">
        <f t="shared" ref="N47:N76" si="2">P47-L47</f>
        <v>58800</v>
      </c>
      <c r="O47" s="36"/>
      <c r="P47" s="36">
        <v>58800</v>
      </c>
      <c r="Q47" s="36"/>
      <c r="R47" s="36">
        <v>58800</v>
      </c>
    </row>
    <row r="48" spans="1:18" s="7" customFormat="1" ht="12.75" hidden="1" customHeight="1" x14ac:dyDescent="0.2">
      <c r="A48" s="86" t="s">
        <v>38</v>
      </c>
      <c r="B48" s="111"/>
      <c r="C48" s="111"/>
      <c r="E48" s="112">
        <v>5</v>
      </c>
      <c r="F48" s="113" t="s">
        <v>12</v>
      </c>
      <c r="G48" s="112" t="s">
        <v>7</v>
      </c>
      <c r="H48" s="112" t="s">
        <v>10</v>
      </c>
      <c r="J48" s="36"/>
      <c r="K48" s="36"/>
      <c r="L48" s="36"/>
      <c r="M48" s="36"/>
      <c r="N48" s="36">
        <f t="shared" si="2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39</v>
      </c>
      <c r="B49" s="111"/>
      <c r="C49" s="111"/>
      <c r="E49" s="112">
        <v>5</v>
      </c>
      <c r="F49" s="113" t="s">
        <v>12</v>
      </c>
      <c r="G49" s="112" t="s">
        <v>12</v>
      </c>
      <c r="H49" s="112" t="s">
        <v>8</v>
      </c>
      <c r="J49" s="88">
        <v>11280</v>
      </c>
      <c r="K49" s="36"/>
      <c r="L49" s="36"/>
      <c r="M49" s="36"/>
      <c r="N49" s="36">
        <f t="shared" si="2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142</v>
      </c>
      <c r="B50" s="111"/>
      <c r="C50" s="111"/>
      <c r="D50" s="112"/>
      <c r="E50" s="112">
        <v>5</v>
      </c>
      <c r="F50" s="113" t="s">
        <v>12</v>
      </c>
      <c r="G50" s="112" t="s">
        <v>12</v>
      </c>
      <c r="H50" s="112" t="s">
        <v>10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41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10</v>
      </c>
      <c r="J51" s="36"/>
      <c r="K51" s="36"/>
      <c r="L51" s="36"/>
      <c r="M51" s="36"/>
      <c r="N51" s="36">
        <f t="shared" si="2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42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17</v>
      </c>
      <c r="J52" s="36"/>
      <c r="K52" s="36"/>
      <c r="L52" s="36"/>
      <c r="M52" s="36"/>
      <c r="N52" s="36">
        <f t="shared" si="2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43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64</v>
      </c>
      <c r="J53" s="36"/>
      <c r="K53" s="36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88</v>
      </c>
      <c r="B54" s="111"/>
      <c r="C54" s="111"/>
      <c r="E54" s="112">
        <v>5</v>
      </c>
      <c r="F54" s="113" t="s">
        <v>12</v>
      </c>
      <c r="G54" s="112" t="s">
        <v>29</v>
      </c>
      <c r="H54" s="112" t="s">
        <v>60</v>
      </c>
      <c r="J54" s="36"/>
      <c r="K54" s="36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150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19</v>
      </c>
      <c r="J55" s="39"/>
      <c r="K55" s="39"/>
      <c r="L55" s="36"/>
      <c r="M55" s="36"/>
      <c r="N55" s="36">
        <f t="shared" si="2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151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82</v>
      </c>
      <c r="J56" s="39"/>
      <c r="K56" s="39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18" s="7" customFormat="1" ht="12.75" customHeight="1" x14ac:dyDescent="0.2">
      <c r="A57" s="86" t="s">
        <v>44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45</v>
      </c>
      <c r="J57" s="39">
        <v>72306.070000000007</v>
      </c>
      <c r="K57" s="39"/>
      <c r="L57" s="36">
        <v>14962.97</v>
      </c>
      <c r="M57" s="36"/>
      <c r="N57" s="36">
        <f t="shared" si="2"/>
        <v>165037.03</v>
      </c>
      <c r="O57" s="36"/>
      <c r="P57" s="36">
        <v>180000</v>
      </c>
      <c r="Q57" s="36"/>
      <c r="R57" s="36">
        <v>144000</v>
      </c>
    </row>
    <row r="58" spans="1:18" s="7" customFormat="1" ht="12.75" hidden="1" customHeight="1" x14ac:dyDescent="0.2">
      <c r="A58" s="86" t="s">
        <v>152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102</v>
      </c>
      <c r="J58" s="36"/>
      <c r="K58" s="36"/>
      <c r="L58" s="36"/>
      <c r="M58" s="36"/>
      <c r="N58" s="36">
        <f t="shared" si="2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153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146</v>
      </c>
      <c r="J59" s="36"/>
      <c r="K59" s="36"/>
      <c r="L59" s="36"/>
      <c r="M59" s="36"/>
      <c r="N59" s="36">
        <f t="shared" si="2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46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47</v>
      </c>
      <c r="J60" s="36"/>
      <c r="K60" s="36"/>
      <c r="L60" s="36"/>
      <c r="M60" s="36"/>
      <c r="N60" s="36">
        <f t="shared" si="2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154</v>
      </c>
      <c r="B61" s="111"/>
      <c r="C61" s="111"/>
      <c r="E61" s="112">
        <v>5</v>
      </c>
      <c r="F61" s="113" t="s">
        <v>12</v>
      </c>
      <c r="G61" s="112" t="s">
        <v>29</v>
      </c>
      <c r="H61" s="112" t="s">
        <v>15</v>
      </c>
      <c r="J61" s="36"/>
      <c r="K61" s="36"/>
      <c r="L61" s="36"/>
      <c r="M61" s="36"/>
      <c r="N61" s="36">
        <f t="shared" si="2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51</v>
      </c>
      <c r="B62" s="111"/>
      <c r="C62" s="111"/>
      <c r="D62" s="112"/>
      <c r="E62" s="112">
        <v>5</v>
      </c>
      <c r="F62" s="113" t="s">
        <v>12</v>
      </c>
      <c r="G62" s="112" t="s">
        <v>29</v>
      </c>
      <c r="H62" s="112" t="s">
        <v>24</v>
      </c>
      <c r="J62" s="36"/>
      <c r="K62" s="36"/>
      <c r="L62" s="36"/>
      <c r="M62" s="36"/>
      <c r="N62" s="36">
        <f t="shared" si="2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50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8</v>
      </c>
      <c r="J63" s="36"/>
      <c r="K63" s="36"/>
      <c r="L63" s="36"/>
      <c r="M63" s="36"/>
      <c r="N63" s="36">
        <f t="shared" si="2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52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10</v>
      </c>
      <c r="J64" s="36"/>
      <c r="K64" s="36"/>
      <c r="L64" s="36"/>
      <c r="M64" s="36"/>
      <c r="N64" s="36">
        <f t="shared" si="2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48</v>
      </c>
      <c r="B65" s="111"/>
      <c r="C65" s="111"/>
      <c r="D65" s="112"/>
      <c r="E65" s="112">
        <v>5</v>
      </c>
      <c r="F65" s="113" t="s">
        <v>12</v>
      </c>
      <c r="G65" s="112" t="s">
        <v>29</v>
      </c>
      <c r="H65" s="114" t="s">
        <v>49</v>
      </c>
      <c r="J65" s="36"/>
      <c r="K65" s="36"/>
      <c r="L65" s="36"/>
      <c r="M65" s="36"/>
      <c r="N65" s="36">
        <f t="shared" si="2"/>
        <v>0</v>
      </c>
      <c r="O65" s="36"/>
      <c r="P65" s="36"/>
      <c r="Q65" s="36"/>
      <c r="R65" s="36"/>
    </row>
    <row r="66" spans="1:18" s="7" customFormat="1" ht="12.75" hidden="1" customHeight="1" x14ac:dyDescent="0.2">
      <c r="A66" s="86" t="s">
        <v>53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8</v>
      </c>
      <c r="J66" s="36"/>
      <c r="K66" s="36"/>
      <c r="L66" s="36"/>
      <c r="M66" s="36"/>
      <c r="N66" s="36">
        <f t="shared" si="2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55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10</v>
      </c>
      <c r="J67" s="36"/>
      <c r="K67" s="36"/>
      <c r="L67" s="36"/>
      <c r="M67" s="36"/>
      <c r="N67" s="36">
        <f t="shared" si="2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56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15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57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17</v>
      </c>
      <c r="J69" s="36"/>
      <c r="K69" s="36"/>
      <c r="L69" s="36"/>
      <c r="M69" s="36"/>
      <c r="N69" s="36">
        <f t="shared" si="2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58</v>
      </c>
      <c r="B70" s="111"/>
      <c r="C70" s="111"/>
      <c r="E70" s="112">
        <v>5</v>
      </c>
      <c r="F70" s="112" t="s">
        <v>12</v>
      </c>
      <c r="G70" s="112" t="s">
        <v>59</v>
      </c>
      <c r="H70" s="112" t="s">
        <v>60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66</v>
      </c>
      <c r="B71" s="111"/>
      <c r="C71" s="111"/>
      <c r="E71" s="112">
        <v>5</v>
      </c>
      <c r="F71" s="113" t="s">
        <v>12</v>
      </c>
      <c r="G71" s="112" t="s">
        <v>67</v>
      </c>
      <c r="H71" s="112" t="s">
        <v>8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61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8</v>
      </c>
      <c r="J72" s="36"/>
      <c r="K72" s="36"/>
      <c r="L72" s="36"/>
      <c r="M72" s="36"/>
      <c r="N72" s="36">
        <f t="shared" si="2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62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10</v>
      </c>
      <c r="J73" s="36"/>
      <c r="K73" s="36"/>
      <c r="L73" s="36"/>
      <c r="M73" s="36"/>
      <c r="N73" s="36">
        <f t="shared" si="2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2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155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15</v>
      </c>
      <c r="J75" s="36"/>
      <c r="K75" s="36"/>
      <c r="L75" s="36"/>
      <c r="M75" s="36"/>
      <c r="N75" s="36">
        <f t="shared" si="2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156</v>
      </c>
      <c r="B76" s="111"/>
      <c r="C76" s="111"/>
      <c r="E76" s="112">
        <v>5</v>
      </c>
      <c r="F76" s="112" t="s">
        <v>12</v>
      </c>
      <c r="G76" s="112" t="s">
        <v>59</v>
      </c>
      <c r="H76" s="112" t="s">
        <v>17</v>
      </c>
      <c r="J76" s="36"/>
      <c r="K76" s="36"/>
      <c r="L76" s="36"/>
      <c r="M76" s="36"/>
      <c r="N76" s="36">
        <f t="shared" si="2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63</v>
      </c>
      <c r="B77" s="111"/>
      <c r="C77" s="111"/>
      <c r="E77" s="112">
        <v>5</v>
      </c>
      <c r="F77" s="113" t="s">
        <v>12</v>
      </c>
      <c r="G77" s="112" t="s">
        <v>59</v>
      </c>
      <c r="H77" s="112" t="s">
        <v>64</v>
      </c>
      <c r="J77" s="36"/>
      <c r="K77" s="36"/>
      <c r="L77" s="36"/>
      <c r="M77" s="36"/>
      <c r="N77" s="36">
        <f t="shared" ref="N77:N112" si="3">P77-L77</f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65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19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157</v>
      </c>
      <c r="B79" s="111"/>
      <c r="C79" s="111"/>
      <c r="E79" s="112">
        <v>5</v>
      </c>
      <c r="F79" s="113" t="s">
        <v>12</v>
      </c>
      <c r="G79" s="112" t="s">
        <v>93</v>
      </c>
      <c r="H79" s="112" t="s">
        <v>8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66</v>
      </c>
      <c r="B80" s="111"/>
      <c r="C80" s="111"/>
      <c r="E80" s="112">
        <v>5</v>
      </c>
      <c r="F80" s="113" t="s">
        <v>12</v>
      </c>
      <c r="G80" s="112" t="s">
        <v>67</v>
      </c>
      <c r="H80" s="112" t="s">
        <v>8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68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10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158</v>
      </c>
      <c r="B82" s="111"/>
      <c r="C82" s="111"/>
      <c r="E82" s="112">
        <v>5</v>
      </c>
      <c r="F82" s="113" t="s">
        <v>12</v>
      </c>
      <c r="G82" s="112" t="s">
        <v>70</v>
      </c>
      <c r="H82" s="112" t="s">
        <v>8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159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10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69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15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160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8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161</v>
      </c>
      <c r="B86" s="111"/>
      <c r="C86" s="111"/>
      <c r="E86" s="112">
        <v>5</v>
      </c>
      <c r="F86" s="113" t="s">
        <v>12</v>
      </c>
      <c r="G86" s="112" t="s">
        <v>163</v>
      </c>
      <c r="H86" s="114" t="s">
        <v>49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71</v>
      </c>
      <c r="B87" s="111"/>
      <c r="C87" s="111"/>
      <c r="E87" s="112">
        <v>5</v>
      </c>
      <c r="F87" s="113" t="s">
        <v>12</v>
      </c>
      <c r="G87" s="112" t="s">
        <v>163</v>
      </c>
      <c r="H87" s="112" t="s">
        <v>10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162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15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72</v>
      </c>
      <c r="B89" s="111"/>
      <c r="C89" s="111"/>
      <c r="E89" s="112">
        <v>5</v>
      </c>
      <c r="F89" s="113" t="s">
        <v>12</v>
      </c>
      <c r="G89" s="112" t="s">
        <v>70</v>
      </c>
      <c r="H89" s="112" t="s">
        <v>49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164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10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165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15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166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17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167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8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168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45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73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64</v>
      </c>
      <c r="J95" s="36">
        <v>0</v>
      </c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3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3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24200</v>
      </c>
      <c r="K112" s="36"/>
      <c r="L112" s="36"/>
      <c r="M112" s="36"/>
      <c r="N112" s="36">
        <f t="shared" si="3"/>
        <v>80000</v>
      </c>
      <c r="O112" s="36"/>
      <c r="P112" s="36">
        <v>80000</v>
      </c>
      <c r="Q112" s="36"/>
      <c r="R112" s="36">
        <v>80000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SUM(J47:J112)</f>
        <v>152752.07</v>
      </c>
      <c r="K113" s="162"/>
      <c r="L113" s="161">
        <f>SUM(L47:L112)</f>
        <v>14962.97</v>
      </c>
      <c r="M113" s="36"/>
      <c r="N113" s="161">
        <f>SUM(N47:N112)</f>
        <v>303837.03000000003</v>
      </c>
      <c r="O113" s="36"/>
      <c r="P113" s="161">
        <f>SUM(P47:P112)</f>
        <v>318800</v>
      </c>
      <c r="Q113" s="36"/>
      <c r="R113" s="161">
        <f>SUM(R47:R112)</f>
        <v>282800</v>
      </c>
    </row>
    <row r="114" spans="1:18" s="7" customFormat="1" ht="6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8.9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6" hidden="1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6" customHeight="1" x14ac:dyDescent="0.2">
      <c r="A127" s="68"/>
      <c r="B127" s="11"/>
      <c r="C127" s="11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181" t="s">
        <v>96</v>
      </c>
      <c r="B128" s="11"/>
      <c r="C128" s="11"/>
      <c r="E128" s="112">
        <v>1</v>
      </c>
      <c r="F128" s="113" t="s">
        <v>93</v>
      </c>
      <c r="G128" s="114" t="s">
        <v>54</v>
      </c>
      <c r="H128" s="112" t="s">
        <v>10</v>
      </c>
      <c r="J128" s="36">
        <v>0</v>
      </c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11" t="s">
        <v>89</v>
      </c>
      <c r="B129" s="24"/>
      <c r="C129" s="24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70" t="s">
        <v>90</v>
      </c>
      <c r="B130" s="9"/>
      <c r="C130" s="9"/>
      <c r="E130" s="112">
        <v>1</v>
      </c>
      <c r="F130" s="113" t="s">
        <v>12</v>
      </c>
      <c r="G130" s="112" t="s">
        <v>54</v>
      </c>
      <c r="H130" s="114" t="s">
        <v>10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92</v>
      </c>
      <c r="B131" s="111"/>
      <c r="C131" s="111"/>
      <c r="E131" s="112">
        <v>1</v>
      </c>
      <c r="F131" s="113" t="s">
        <v>93</v>
      </c>
      <c r="G131" s="112" t="s">
        <v>7</v>
      </c>
      <c r="H131" s="112" t="s">
        <v>8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94</v>
      </c>
      <c r="B132" s="111"/>
      <c r="C132" s="111"/>
      <c r="E132" s="112">
        <v>1</v>
      </c>
      <c r="F132" s="113" t="s">
        <v>93</v>
      </c>
      <c r="G132" s="112" t="s">
        <v>34</v>
      </c>
      <c r="H132" s="112" t="s">
        <v>8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hidden="1" customHeight="1" x14ac:dyDescent="0.2">
      <c r="A133" s="86" t="s">
        <v>95</v>
      </c>
      <c r="B133" s="116"/>
      <c r="C133" s="116"/>
      <c r="E133" s="112">
        <v>1</v>
      </c>
      <c r="F133" s="113" t="s">
        <v>93</v>
      </c>
      <c r="G133" s="112" t="s">
        <v>34</v>
      </c>
      <c r="H133" s="112" t="s">
        <v>49</v>
      </c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hidden="1" customHeight="1" x14ac:dyDescent="0.2">
      <c r="A134" s="86" t="s">
        <v>96</v>
      </c>
      <c r="B134" s="116"/>
      <c r="C134" s="116"/>
      <c r="D134" s="113"/>
      <c r="E134" s="112">
        <v>1</v>
      </c>
      <c r="F134" s="113" t="s">
        <v>93</v>
      </c>
      <c r="G134" s="112" t="s">
        <v>54</v>
      </c>
      <c r="H134" s="112" t="s">
        <v>10</v>
      </c>
      <c r="J134" s="36"/>
      <c r="K134" s="36"/>
      <c r="L134" s="36"/>
      <c r="M134" s="36"/>
      <c r="N134" s="36">
        <f t="shared" ref="N134" si="4">P134-L134</f>
        <v>0</v>
      </c>
      <c r="O134" s="36"/>
      <c r="P134" s="36"/>
      <c r="Q134" s="36"/>
      <c r="R134" s="36"/>
    </row>
    <row r="135" spans="1:18" s="7" customFormat="1" ht="12.75" hidden="1" customHeight="1" x14ac:dyDescent="0.2">
      <c r="A135" s="86" t="s">
        <v>97</v>
      </c>
      <c r="B135" s="111"/>
      <c r="C135" s="111"/>
      <c r="E135" s="112">
        <v>1</v>
      </c>
      <c r="F135" s="113" t="s">
        <v>93</v>
      </c>
      <c r="G135" s="112" t="s">
        <v>93</v>
      </c>
      <c r="H135" s="112" t="s">
        <v>8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customHeight="1" x14ac:dyDescent="0.2">
      <c r="A136" s="86" t="s">
        <v>98</v>
      </c>
      <c r="B136" s="116"/>
      <c r="C136" s="116"/>
      <c r="E136" s="112">
        <v>1</v>
      </c>
      <c r="F136" s="113" t="s">
        <v>93</v>
      </c>
      <c r="G136" s="112" t="s">
        <v>54</v>
      </c>
      <c r="H136" s="112" t="s">
        <v>15</v>
      </c>
      <c r="J136" s="36"/>
      <c r="K136" s="36"/>
      <c r="L136" s="36"/>
      <c r="M136" s="36"/>
      <c r="N136" s="36">
        <f>P136-L136</f>
        <v>20000</v>
      </c>
      <c r="O136" s="36"/>
      <c r="P136" s="36">
        <v>20000</v>
      </c>
      <c r="Q136" s="36"/>
      <c r="R136" s="36"/>
    </row>
    <row r="137" spans="1:18" s="7" customFormat="1" ht="12.75" hidden="1" customHeight="1" x14ac:dyDescent="0.2">
      <c r="A137" s="86" t="s">
        <v>99</v>
      </c>
      <c r="B137" s="116"/>
      <c r="C137" s="116"/>
      <c r="D137" s="113"/>
      <c r="E137" s="112">
        <v>1</v>
      </c>
      <c r="F137" s="113" t="s">
        <v>93</v>
      </c>
      <c r="G137" s="112" t="s">
        <v>93</v>
      </c>
      <c r="H137" s="112" t="s">
        <v>10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100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19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175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82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176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45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177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146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101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102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103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24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104</v>
      </c>
      <c r="B144" s="111"/>
      <c r="C144" s="111"/>
      <c r="E144" s="112">
        <v>1</v>
      </c>
      <c r="F144" s="113" t="s">
        <v>93</v>
      </c>
      <c r="G144" s="112" t="s">
        <v>54</v>
      </c>
      <c r="H144" s="112" t="s">
        <v>28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105</v>
      </c>
      <c r="B145" s="111"/>
      <c r="C145" s="111"/>
      <c r="D145" s="113"/>
      <c r="E145" s="112">
        <v>1</v>
      </c>
      <c r="F145" s="113" t="s">
        <v>93</v>
      </c>
      <c r="G145" s="112" t="s">
        <v>54</v>
      </c>
      <c r="H145" s="114" t="s">
        <v>49</v>
      </c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106</v>
      </c>
      <c r="B146" s="111"/>
      <c r="C146" s="111"/>
      <c r="D146" s="113"/>
      <c r="E146" s="112">
        <v>1</v>
      </c>
      <c r="F146" s="113" t="s">
        <v>93</v>
      </c>
      <c r="G146" s="112" t="s">
        <v>67</v>
      </c>
      <c r="H146" s="112" t="s">
        <v>8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107</v>
      </c>
      <c r="B147" s="111"/>
      <c r="C147" s="111"/>
      <c r="D147" s="113"/>
      <c r="E147" s="112">
        <v>1</v>
      </c>
      <c r="F147" s="113" t="s">
        <v>93</v>
      </c>
      <c r="G147" s="112" t="s">
        <v>59</v>
      </c>
      <c r="H147" s="114" t="s">
        <v>49</v>
      </c>
      <c r="J147" s="36"/>
      <c r="K147" s="36"/>
      <c r="L147" s="36"/>
      <c r="M147" s="36"/>
      <c r="N147" s="36">
        <f>P147-L147</f>
        <v>0</v>
      </c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178</v>
      </c>
      <c r="B148" s="111"/>
      <c r="C148" s="111"/>
      <c r="D148" s="113"/>
      <c r="E148" s="112">
        <v>1</v>
      </c>
      <c r="F148" s="113" t="s">
        <v>93</v>
      </c>
      <c r="G148" s="112" t="s">
        <v>29</v>
      </c>
      <c r="H148" s="112" t="s">
        <v>8</v>
      </c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7" customFormat="1" ht="12.75" hidden="1" customHeight="1" x14ac:dyDescent="0.2">
      <c r="A149" s="86" t="s">
        <v>179</v>
      </c>
      <c r="B149" s="111"/>
      <c r="C149" s="111"/>
      <c r="D149" s="113"/>
      <c r="E149" s="112">
        <v>1</v>
      </c>
      <c r="F149" s="113" t="s">
        <v>93</v>
      </c>
      <c r="G149" s="112" t="s">
        <v>29</v>
      </c>
      <c r="H149" s="112" t="s">
        <v>45</v>
      </c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s="27" customFormat="1" ht="18.95" customHeight="1" x14ac:dyDescent="0.2">
      <c r="A150" s="63" t="s">
        <v>108</v>
      </c>
      <c r="B150" s="26"/>
      <c r="C150" s="26"/>
      <c r="J150" s="21">
        <f>SUM(J131:J149)</f>
        <v>0</v>
      </c>
      <c r="K150" s="23"/>
      <c r="L150" s="21">
        <f>SUM(L131:L145)</f>
        <v>0</v>
      </c>
      <c r="M150" s="172"/>
      <c r="N150" s="21">
        <f>SUM(N131:N149)</f>
        <v>20000</v>
      </c>
      <c r="O150" s="172"/>
      <c r="P150" s="21">
        <f>SUM(P131:P149)</f>
        <v>20000</v>
      </c>
      <c r="Q150" s="172"/>
      <c r="R150" s="21">
        <f>SUM(R131:R149)</f>
        <v>0</v>
      </c>
    </row>
    <row r="151" spans="1:18" s="7" customFormat="1" ht="6" customHeight="1" x14ac:dyDescent="0.2"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1:18" s="7" customFormat="1" ht="20.100000000000001" customHeight="1" thickBot="1" x14ac:dyDescent="0.25">
      <c r="A152" s="11" t="s">
        <v>110</v>
      </c>
      <c r="B152" s="28"/>
      <c r="C152" s="28"/>
      <c r="J152" s="29">
        <f>J43+J113+J124+J150</f>
        <v>14163189.650000002</v>
      </c>
      <c r="K152" s="23"/>
      <c r="L152" s="29">
        <f>L43+L113+L124+L150</f>
        <v>6551524.9999999991</v>
      </c>
      <c r="M152" s="36"/>
      <c r="N152" s="29">
        <f>N43+N113+N124+N150</f>
        <v>12712050.99</v>
      </c>
      <c r="O152" s="36"/>
      <c r="P152" s="29">
        <f>P43+P113+P124+P150</f>
        <v>19263575.990000002</v>
      </c>
      <c r="Q152" s="36"/>
      <c r="R152" s="29">
        <f>R43+R113+R124+R150</f>
        <v>19174338.859999999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321" t="s">
        <v>133</v>
      </c>
      <c r="B154" s="321"/>
      <c r="C154" s="321"/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311" t="s">
        <v>135</v>
      </c>
      <c r="Q154" s="311"/>
      <c r="R154" s="311"/>
    </row>
    <row r="155" spans="1:18" x14ac:dyDescent="0.2">
      <c r="A155" s="50"/>
      <c r="D155" s="33"/>
      <c r="E155" s="51"/>
      <c r="G155" s="31"/>
      <c r="I155" s="31"/>
      <c r="J155" s="168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68"/>
      <c r="M156" s="94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322" t="s">
        <v>298</v>
      </c>
      <c r="B158" s="322"/>
      <c r="C158" s="322"/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312" t="s">
        <v>137</v>
      </c>
      <c r="Q158" s="312"/>
      <c r="R158" s="312"/>
    </row>
    <row r="159" spans="1:18" x14ac:dyDescent="0.2">
      <c r="A159" s="321" t="s">
        <v>292</v>
      </c>
      <c r="B159" s="321"/>
      <c r="C159" s="321"/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313" t="s">
        <v>139</v>
      </c>
      <c r="Q159" s="313"/>
      <c r="R159" s="313"/>
    </row>
  </sheetData>
  <customSheetViews>
    <customSheetView guid="{1998FCB8-1FEB-4076-ACE6-A225EE4366B3}" showPageBreaks="1" printArea="1" hiddenRows="1" view="pageBreakPreview">
      <pane xSplit="1" ySplit="14" topLeftCell="B19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C113" activePane="bottomRight" state="frozen"/>
      <selection pane="bottomRight" activeCell="C126" sqref="C126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C57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40" activePane="bottomRight" state="frozen"/>
      <selection pane="bottomRight" activeCell="R112" sqref="R112"/>
      <rowBreaks count="1" manualBreakCount="1">
        <brk id="114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7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55"/>
  <sheetViews>
    <sheetView view="pageBreakPreview" zoomScaleNormal="85" zoomScaleSheetLayoutView="100" workbookViewId="0">
      <pane xSplit="1" ySplit="14" topLeftCell="B128" activePane="bottomRight" state="frozen"/>
      <selection pane="topRight" activeCell="B1" sqref="B1"/>
      <selection pane="bottomLeft" activeCell="A15" sqref="A15"/>
      <selection pane="bottomRight" activeCell="R146" sqref="R14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9.6640625" style="1" bestFit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203</v>
      </c>
      <c r="H4" s="3"/>
      <c r="I4" s="3"/>
      <c r="R4" s="77">
        <v>1061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327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13">
        <v>16037529.98</v>
      </c>
      <c r="K16" s="13"/>
      <c r="L16" s="36">
        <v>7251000.0800000001</v>
      </c>
      <c r="M16" s="36"/>
      <c r="N16" s="36">
        <f t="shared" ref="N16:N20" si="0">P16-L16</f>
        <v>10377863.180000002</v>
      </c>
      <c r="O16" s="36"/>
      <c r="P16" s="36">
        <v>17628863.260000002</v>
      </c>
      <c r="Q16" s="36"/>
      <c r="R16" s="36">
        <v>18602178.629999999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9"/>
      <c r="K17" s="39"/>
      <c r="L17" s="36"/>
      <c r="M17" s="36"/>
      <c r="N17" s="36">
        <f t="shared" si="0"/>
        <v>0</v>
      </c>
      <c r="O17" s="36"/>
      <c r="P17" s="36"/>
      <c r="Q17" s="36"/>
      <c r="R17" s="36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13">
        <v>1731514.06</v>
      </c>
      <c r="K18" s="13"/>
      <c r="L18" s="36">
        <v>801091.29</v>
      </c>
      <c r="M18" s="36"/>
      <c r="N18" s="36">
        <f t="shared" si="0"/>
        <v>1142908.71</v>
      </c>
      <c r="O18" s="36"/>
      <c r="P18" s="36">
        <v>1944000</v>
      </c>
      <c r="Q18" s="36"/>
      <c r="R18" s="36">
        <v>1944000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13">
        <v>177000</v>
      </c>
      <c r="K19" s="13"/>
      <c r="L19" s="36">
        <v>81000</v>
      </c>
      <c r="M19" s="36"/>
      <c r="N19" s="36">
        <f t="shared" si="0"/>
        <v>111000</v>
      </c>
      <c r="O19" s="36"/>
      <c r="P19" s="36">
        <v>192000</v>
      </c>
      <c r="Q19" s="36"/>
      <c r="R19" s="36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13">
        <v>177000</v>
      </c>
      <c r="K20" s="13"/>
      <c r="L20" s="36">
        <v>64000</v>
      </c>
      <c r="M20" s="36"/>
      <c r="N20" s="36">
        <f t="shared" si="0"/>
        <v>128000</v>
      </c>
      <c r="O20" s="36"/>
      <c r="P20" s="36">
        <v>192000</v>
      </c>
      <c r="Q20" s="36"/>
      <c r="R20" s="36">
        <v>192000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13">
        <v>432000</v>
      </c>
      <c r="K21" s="13"/>
      <c r="L21" s="36">
        <v>396000</v>
      </c>
      <c r="M21" s="36"/>
      <c r="N21" s="36">
        <f>P21-L21</f>
        <v>90000</v>
      </c>
      <c r="O21" s="36"/>
      <c r="P21" s="36">
        <v>486000</v>
      </c>
      <c r="Q21" s="36"/>
      <c r="R21" s="36">
        <v>486000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13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13"/>
      <c r="K24" s="13"/>
      <c r="L24" s="36"/>
      <c r="M24" s="36"/>
      <c r="N24" s="36">
        <f t="shared" ref="N24:N36" si="1">P24-L24</f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13"/>
      <c r="K25" s="13"/>
      <c r="L25" s="36"/>
      <c r="M25" s="36"/>
      <c r="N25" s="36">
        <f t="shared" si="1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13"/>
      <c r="K27" s="13"/>
      <c r="L27" s="36">
        <v>497000</v>
      </c>
      <c r="M27" s="36"/>
      <c r="N27" s="36">
        <f t="shared" si="1"/>
        <v>0</v>
      </c>
      <c r="O27" s="36"/>
      <c r="P27" s="36">
        <v>497000</v>
      </c>
      <c r="Q27" s="36"/>
      <c r="R27" s="36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1355519.6</v>
      </c>
      <c r="K30" s="36"/>
      <c r="L30" s="36"/>
      <c r="M30" s="36"/>
      <c r="N30" s="36">
        <f>P30-L30</f>
        <v>1494671</v>
      </c>
      <c r="O30" s="36"/>
      <c r="P30" s="36">
        <v>1494671</v>
      </c>
      <c r="Q30" s="36"/>
      <c r="R30" s="36">
        <v>1554566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364500</v>
      </c>
      <c r="K31" s="36"/>
      <c r="L31" s="36"/>
      <c r="M31" s="36"/>
      <c r="N31" s="36">
        <f t="shared" si="1"/>
        <v>405000</v>
      </c>
      <c r="O31" s="36"/>
      <c r="P31" s="36">
        <v>405000</v>
      </c>
      <c r="Q31" s="36"/>
      <c r="R31" s="36">
        <v>405000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13">
        <v>1325297</v>
      </c>
      <c r="K32" s="13"/>
      <c r="L32" s="36">
        <v>1140954</v>
      </c>
      <c r="M32" s="36"/>
      <c r="N32" s="36">
        <f>P32-L32</f>
        <v>283717</v>
      </c>
      <c r="O32" s="36"/>
      <c r="P32" s="36">
        <v>1424671</v>
      </c>
      <c r="Q32" s="36"/>
      <c r="R32" s="36">
        <v>1554566</v>
      </c>
    </row>
    <row r="33" spans="1:18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1926966.7</v>
      </c>
      <c r="K33" s="36"/>
      <c r="L33" s="36">
        <v>870775.14</v>
      </c>
      <c r="M33" s="36"/>
      <c r="N33" s="36">
        <f t="shared" si="1"/>
        <v>1281551.1000000001</v>
      </c>
      <c r="O33" s="36"/>
      <c r="P33" s="36">
        <v>2152326.2400000002</v>
      </c>
      <c r="Q33" s="36"/>
      <c r="R33" s="36">
        <v>2238575.04</v>
      </c>
    </row>
    <row r="34" spans="1:18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86800</v>
      </c>
      <c r="K34" s="36"/>
      <c r="L34" s="36">
        <v>40100</v>
      </c>
      <c r="M34" s="36"/>
      <c r="N34" s="36">
        <f t="shared" si="1"/>
        <v>57100</v>
      </c>
      <c r="O34" s="36"/>
      <c r="P34" s="36">
        <v>97200</v>
      </c>
      <c r="Q34" s="36"/>
      <c r="R34" s="36">
        <v>97200</v>
      </c>
    </row>
    <row r="35" spans="1:18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195652.22</v>
      </c>
      <c r="K35" s="36"/>
      <c r="L35" s="36">
        <v>102100.27</v>
      </c>
      <c r="M35" s="36"/>
      <c r="N35" s="36">
        <f t="shared" si="1"/>
        <v>151696.31</v>
      </c>
      <c r="O35" s="36"/>
      <c r="P35" s="36">
        <v>253796.58</v>
      </c>
      <c r="Q35" s="36"/>
      <c r="R35" s="36">
        <v>314052.06</v>
      </c>
    </row>
    <row r="36" spans="1:18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86758.75</v>
      </c>
      <c r="K36" s="36"/>
      <c r="L36" s="36">
        <v>40100</v>
      </c>
      <c r="M36" s="36"/>
      <c r="N36" s="36">
        <f t="shared" si="1"/>
        <v>57100</v>
      </c>
      <c r="O36" s="36"/>
      <c r="P36" s="36">
        <v>97200</v>
      </c>
      <c r="Q36" s="36"/>
      <c r="R36" s="36">
        <v>97200</v>
      </c>
    </row>
    <row r="37" spans="1:18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18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/>
      <c r="O38" s="36"/>
      <c r="P38" s="36"/>
      <c r="Q38" s="36"/>
      <c r="R38" s="36"/>
    </row>
    <row r="39" spans="1:18" s="7" customFormat="1" ht="12.7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>
        <v>671130.6</v>
      </c>
      <c r="K39" s="36"/>
      <c r="L39" s="36">
        <v>1349585.58</v>
      </c>
      <c r="M39" s="36"/>
      <c r="N39" s="36">
        <f t="shared" ref="N39" si="2">P39-L39</f>
        <v>347325.41999999993</v>
      </c>
      <c r="O39" s="36"/>
      <c r="P39" s="36">
        <v>1696911</v>
      </c>
      <c r="Q39" s="36"/>
      <c r="R39" s="36">
        <v>142804.07</v>
      </c>
    </row>
    <row r="40" spans="1:18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400000</v>
      </c>
      <c r="K40" s="36"/>
      <c r="L40" s="36"/>
      <c r="M40" s="36"/>
      <c r="N40" s="36">
        <f>P40-L40</f>
        <v>475000</v>
      </c>
      <c r="O40" s="36"/>
      <c r="P40" s="36">
        <v>475000</v>
      </c>
      <c r="Q40" s="36"/>
      <c r="R40" s="36">
        <v>405000</v>
      </c>
    </row>
    <row r="41" spans="1:18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s="7" customFormat="1" ht="18.95" customHeight="1" x14ac:dyDescent="0.2">
      <c r="A42" s="63" t="s">
        <v>36</v>
      </c>
      <c r="B42" s="26"/>
      <c r="C42" s="26"/>
      <c r="J42" s="161">
        <f>SUM(J16:J41)</f>
        <v>24967668.91</v>
      </c>
      <c r="K42" s="162"/>
      <c r="L42" s="161">
        <f>SUM(L16:L41)</f>
        <v>12633706.360000001</v>
      </c>
      <c r="M42" s="36"/>
      <c r="N42" s="161">
        <f>SUM(N16:N41)</f>
        <v>16402932.720000001</v>
      </c>
      <c r="O42" s="36"/>
      <c r="P42" s="161">
        <f>SUM(P16:P41)</f>
        <v>29036639.079999998</v>
      </c>
      <c r="Q42" s="36"/>
      <c r="R42" s="161">
        <f>SUM(R16:R41)</f>
        <v>28225141.799999997</v>
      </c>
    </row>
    <row r="43" spans="1:18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18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36">
        <v>100353</v>
      </c>
      <c r="K45" s="36"/>
      <c r="L45" s="36">
        <v>7255</v>
      </c>
      <c r="M45" s="36"/>
      <c r="N45" s="36">
        <f t="shared" ref="N45:N84" si="3">P45-L45</f>
        <v>211145</v>
      </c>
      <c r="O45" s="36"/>
      <c r="P45" s="36">
        <v>218400</v>
      </c>
      <c r="Q45" s="36"/>
      <c r="R45" s="36">
        <v>218400</v>
      </c>
    </row>
    <row r="46" spans="1:18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>
        <f t="shared" si="3"/>
        <v>0</v>
      </c>
      <c r="O46" s="36"/>
      <c r="P46" s="36"/>
      <c r="Q46" s="36"/>
      <c r="R46" s="36"/>
    </row>
    <row r="47" spans="1:18" s="7" customFormat="1" ht="12.75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>
        <v>15000</v>
      </c>
      <c r="K47" s="36"/>
      <c r="L47" s="36"/>
      <c r="M47" s="36"/>
      <c r="N47" s="36">
        <f t="shared" si="3"/>
        <v>0</v>
      </c>
      <c r="O47" s="36"/>
      <c r="P47" s="36"/>
      <c r="Q47" s="36"/>
      <c r="R47" s="36"/>
    </row>
    <row r="48" spans="1:18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36"/>
      <c r="K48" s="36"/>
      <c r="L48" s="36"/>
      <c r="M48" s="36"/>
      <c r="N48" s="36">
        <f t="shared" si="3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40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8</v>
      </c>
      <c r="J49" s="36">
        <v>8172458.6500000004</v>
      </c>
      <c r="K49" s="36"/>
      <c r="L49" s="36">
        <v>694327.2</v>
      </c>
      <c r="M49" s="36"/>
      <c r="N49" s="36">
        <f t="shared" si="3"/>
        <v>7105672.7999999998</v>
      </c>
      <c r="O49" s="36"/>
      <c r="P49" s="36">
        <v>7800000</v>
      </c>
      <c r="Q49" s="36"/>
      <c r="R49" s="36">
        <v>7800000</v>
      </c>
    </row>
    <row r="50" spans="1:18" s="7" customFormat="1" ht="12.75" hidden="1" customHeight="1" x14ac:dyDescent="0.2">
      <c r="A50" s="86" t="s">
        <v>41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10</v>
      </c>
      <c r="J50" s="36">
        <v>0</v>
      </c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" hidden="1" customHeight="1" x14ac:dyDescent="0.2">
      <c r="A51" s="86" t="s">
        <v>42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17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43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64</v>
      </c>
      <c r="J52" s="36"/>
      <c r="K52" s="36"/>
      <c r="L52" s="36"/>
      <c r="M52" s="36"/>
      <c r="N52" s="36">
        <f t="shared" si="3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88</v>
      </c>
      <c r="B53" s="111"/>
      <c r="C53" s="111"/>
      <c r="E53" s="112">
        <v>5</v>
      </c>
      <c r="F53" s="113" t="s">
        <v>12</v>
      </c>
      <c r="G53" s="112" t="s">
        <v>29</v>
      </c>
      <c r="H53" s="112" t="s">
        <v>60</v>
      </c>
      <c r="J53" s="36"/>
      <c r="K53" s="36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150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19</v>
      </c>
      <c r="J54" s="39"/>
      <c r="K54" s="39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151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82</v>
      </c>
      <c r="J55" s="39"/>
      <c r="K55" s="39"/>
      <c r="L55" s="36"/>
      <c r="M55" s="36"/>
      <c r="N55" s="36">
        <f t="shared" si="3"/>
        <v>0</v>
      </c>
      <c r="O55" s="36"/>
      <c r="P55" s="36"/>
      <c r="Q55" s="36"/>
      <c r="R55" s="36"/>
    </row>
    <row r="56" spans="1:18" s="7" customFormat="1" ht="12.75" customHeight="1" x14ac:dyDescent="0.2">
      <c r="A56" s="86" t="s">
        <v>44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45</v>
      </c>
      <c r="J56" s="39">
        <v>554139.77</v>
      </c>
      <c r="K56" s="39"/>
      <c r="L56" s="36">
        <v>193736.8</v>
      </c>
      <c r="M56" s="36"/>
      <c r="N56" s="36">
        <f t="shared" si="3"/>
        <v>1087863.2</v>
      </c>
      <c r="O56" s="36"/>
      <c r="P56" s="36">
        <v>1281600</v>
      </c>
      <c r="Q56" s="36"/>
      <c r="R56" s="36">
        <v>1281600</v>
      </c>
    </row>
    <row r="57" spans="1:18" s="7" customFormat="1" ht="12.75" hidden="1" customHeight="1" x14ac:dyDescent="0.2">
      <c r="A57" s="86" t="s">
        <v>152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102</v>
      </c>
      <c r="J57" s="36"/>
      <c r="K57" s="36"/>
      <c r="L57" s="36"/>
      <c r="M57" s="36"/>
      <c r="N57" s="36">
        <f t="shared" si="3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153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146</v>
      </c>
      <c r="J58" s="36"/>
      <c r="K58" s="36"/>
      <c r="L58" s="36"/>
      <c r="M58" s="36"/>
      <c r="N58" s="36">
        <f t="shared" si="3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46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47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154</v>
      </c>
      <c r="B60" s="111"/>
      <c r="C60" s="111"/>
      <c r="E60" s="112">
        <v>5</v>
      </c>
      <c r="F60" s="113" t="s">
        <v>12</v>
      </c>
      <c r="G60" s="112" t="s">
        <v>29</v>
      </c>
      <c r="H60" s="112" t="s">
        <v>15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51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24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customHeight="1" x14ac:dyDescent="0.2">
      <c r="A62" s="86" t="s">
        <v>48</v>
      </c>
      <c r="B62" s="111"/>
      <c r="C62" s="111"/>
      <c r="E62" s="112">
        <v>5</v>
      </c>
      <c r="F62" s="113" t="s">
        <v>12</v>
      </c>
      <c r="G62" s="112" t="s">
        <v>29</v>
      </c>
      <c r="H62" s="114" t="s">
        <v>49</v>
      </c>
      <c r="J62" s="36">
        <v>1522893.35</v>
      </c>
      <c r="K62" s="36"/>
      <c r="L62" s="36">
        <v>21988.26</v>
      </c>
      <c r="M62" s="36"/>
      <c r="N62" s="36">
        <f t="shared" si="3"/>
        <v>4978011.74</v>
      </c>
      <c r="O62" s="36"/>
      <c r="P62" s="36">
        <v>5000000</v>
      </c>
      <c r="Q62" s="36"/>
      <c r="R62" s="36">
        <v>4500000</v>
      </c>
    </row>
    <row r="63" spans="1:18" s="7" customFormat="1" ht="12.75" customHeight="1" x14ac:dyDescent="0.2">
      <c r="A63" s="86" t="s">
        <v>50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8</v>
      </c>
      <c r="J63" s="36"/>
      <c r="K63" s="36"/>
      <c r="L63" s="36">
        <v>633383.04</v>
      </c>
      <c r="M63" s="36"/>
      <c r="N63" s="36">
        <f t="shared" si="3"/>
        <v>3166616.96</v>
      </c>
      <c r="O63" s="36"/>
      <c r="P63" s="36">
        <v>3800000</v>
      </c>
      <c r="Q63" s="36"/>
      <c r="R63" s="36">
        <v>3800000</v>
      </c>
    </row>
    <row r="64" spans="1:18" s="7" customFormat="1" ht="12.75" customHeight="1" x14ac:dyDescent="0.2">
      <c r="A64" s="86" t="s">
        <v>52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10</v>
      </c>
      <c r="J64" s="36"/>
      <c r="K64" s="36"/>
      <c r="L64" s="36">
        <v>3164265.46</v>
      </c>
      <c r="M64" s="36"/>
      <c r="N64" s="36">
        <f t="shared" si="3"/>
        <v>16475734.539999999</v>
      </c>
      <c r="O64" s="36"/>
      <c r="P64" s="36">
        <v>19640000</v>
      </c>
      <c r="Q64" s="36"/>
      <c r="R64" s="36">
        <v>19640000</v>
      </c>
    </row>
    <row r="65" spans="1:18" s="7" customFormat="1" ht="12.75" customHeight="1" x14ac:dyDescent="0.2">
      <c r="A65" s="86" t="s">
        <v>53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8</v>
      </c>
      <c r="J65" s="36"/>
      <c r="K65" s="36"/>
      <c r="L65" s="36"/>
      <c r="M65" s="36"/>
      <c r="N65" s="36">
        <f t="shared" si="3"/>
        <v>35000</v>
      </c>
      <c r="O65" s="36"/>
      <c r="P65" s="36">
        <v>35000</v>
      </c>
      <c r="Q65" s="36"/>
      <c r="R65" s="36">
        <v>35000</v>
      </c>
    </row>
    <row r="66" spans="1:18" s="7" customFormat="1" ht="12.75" customHeight="1" x14ac:dyDescent="0.2">
      <c r="A66" s="86" t="s">
        <v>55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10</v>
      </c>
      <c r="J66" s="36">
        <v>1349510.37</v>
      </c>
      <c r="K66" s="36"/>
      <c r="L66" s="36">
        <v>710065.72</v>
      </c>
      <c r="M66" s="36"/>
      <c r="N66" s="36">
        <f t="shared" si="3"/>
        <v>1244934.28</v>
      </c>
      <c r="O66" s="36"/>
      <c r="P66" s="36">
        <v>1955000</v>
      </c>
      <c r="Q66" s="36"/>
      <c r="R66" s="36">
        <v>1955000</v>
      </c>
    </row>
    <row r="67" spans="1:18" s="7" customFormat="1" ht="12.75" customHeight="1" x14ac:dyDescent="0.2">
      <c r="A67" s="86" t="s">
        <v>56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15</v>
      </c>
      <c r="J67" s="36">
        <v>1462734.12</v>
      </c>
      <c r="K67" s="36"/>
      <c r="L67" s="36">
        <v>847034.14</v>
      </c>
      <c r="M67" s="36"/>
      <c r="N67" s="36">
        <f t="shared" si="3"/>
        <v>2472965.86</v>
      </c>
      <c r="O67" s="36"/>
      <c r="P67" s="36">
        <v>3320000</v>
      </c>
      <c r="Q67" s="36"/>
      <c r="R67" s="36">
        <v>3320000</v>
      </c>
    </row>
    <row r="68" spans="1:18" s="7" customFormat="1" ht="12.75" hidden="1" customHeight="1" x14ac:dyDescent="0.2">
      <c r="A68" s="86" t="s">
        <v>57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17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58</v>
      </c>
      <c r="B69" s="111"/>
      <c r="C69" s="111"/>
      <c r="E69" s="112">
        <v>5</v>
      </c>
      <c r="F69" s="112" t="s">
        <v>12</v>
      </c>
      <c r="G69" s="112" t="s">
        <v>59</v>
      </c>
      <c r="H69" s="112" t="s">
        <v>60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66</v>
      </c>
      <c r="B70" s="111"/>
      <c r="C70" s="111"/>
      <c r="E70" s="112">
        <v>5</v>
      </c>
      <c r="F70" s="113" t="s">
        <v>12</v>
      </c>
      <c r="G70" s="112" t="s">
        <v>67</v>
      </c>
      <c r="H70" s="112" t="s">
        <v>8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61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8</v>
      </c>
      <c r="J71" s="36"/>
      <c r="K71" s="36"/>
      <c r="L71" s="36"/>
      <c r="M71" s="36"/>
      <c r="N71" s="36">
        <f t="shared" si="3"/>
        <v>0</v>
      </c>
      <c r="O71" s="36"/>
      <c r="P71" s="36"/>
      <c r="Q71" s="36"/>
      <c r="R71" s="36"/>
    </row>
    <row r="72" spans="1:18" s="7" customFormat="1" ht="12.75" customHeight="1" x14ac:dyDescent="0.2">
      <c r="A72" s="86" t="s">
        <v>71</v>
      </c>
      <c r="B72" s="111"/>
      <c r="C72" s="111"/>
      <c r="E72" s="112">
        <v>5</v>
      </c>
      <c r="F72" s="113" t="s">
        <v>12</v>
      </c>
      <c r="G72" s="112" t="s">
        <v>163</v>
      </c>
      <c r="H72" s="112" t="s">
        <v>10</v>
      </c>
      <c r="J72" s="36">
        <v>3152967.16</v>
      </c>
      <c r="K72" s="36"/>
      <c r="L72" s="36">
        <v>2159752.94</v>
      </c>
      <c r="M72" s="36"/>
      <c r="N72" s="36">
        <f t="shared" si="3"/>
        <v>2840247.06</v>
      </c>
      <c r="O72" s="36"/>
      <c r="P72" s="36">
        <v>5000000</v>
      </c>
      <c r="Q72" s="36"/>
      <c r="R72" s="36">
        <v>7900000</v>
      </c>
    </row>
    <row r="73" spans="1:18" s="7" customFormat="1" ht="12.75" customHeight="1" x14ac:dyDescent="0.2">
      <c r="A73" s="86" t="s">
        <v>165</v>
      </c>
      <c r="B73" s="111"/>
      <c r="C73" s="111"/>
      <c r="E73" s="112">
        <v>5</v>
      </c>
      <c r="F73" s="113" t="s">
        <v>12</v>
      </c>
      <c r="G73" s="112" t="s">
        <v>74</v>
      </c>
      <c r="H73" s="112" t="s">
        <v>15</v>
      </c>
      <c r="J73" s="36">
        <v>269720.5</v>
      </c>
      <c r="K73" s="36"/>
      <c r="L73" s="36"/>
      <c r="M73" s="36"/>
      <c r="N73" s="36">
        <f t="shared" si="3"/>
        <v>720000</v>
      </c>
      <c r="O73" s="36"/>
      <c r="P73" s="36">
        <v>720000</v>
      </c>
      <c r="Q73" s="36"/>
      <c r="R73" s="36">
        <v>720000</v>
      </c>
    </row>
    <row r="74" spans="1:18" s="7" customFormat="1" ht="12.75" customHeight="1" x14ac:dyDescent="0.2">
      <c r="A74" s="86" t="s">
        <v>166</v>
      </c>
      <c r="B74" s="111"/>
      <c r="C74" s="111"/>
      <c r="E74" s="112">
        <v>5</v>
      </c>
      <c r="F74" s="113" t="s">
        <v>12</v>
      </c>
      <c r="G74" s="112" t="s">
        <v>74</v>
      </c>
      <c r="H74" s="112" t="s">
        <v>17</v>
      </c>
      <c r="J74" s="36">
        <v>781775.76</v>
      </c>
      <c r="K74" s="36"/>
      <c r="L74" s="36">
        <v>7765.5</v>
      </c>
      <c r="M74" s="36"/>
      <c r="N74" s="36">
        <f t="shared" si="3"/>
        <v>4192234.5</v>
      </c>
      <c r="O74" s="36"/>
      <c r="P74" s="36">
        <v>4200000</v>
      </c>
      <c r="Q74" s="36"/>
      <c r="R74" s="36">
        <v>4200000</v>
      </c>
    </row>
    <row r="75" spans="1:18" s="7" customFormat="1" ht="12.75" customHeight="1" x14ac:dyDescent="0.2">
      <c r="A75" s="86" t="s">
        <v>73</v>
      </c>
      <c r="B75" s="111"/>
      <c r="C75" s="111"/>
      <c r="E75" s="112">
        <v>5</v>
      </c>
      <c r="F75" s="113" t="s">
        <v>12</v>
      </c>
      <c r="G75" s="112" t="s">
        <v>74</v>
      </c>
      <c r="H75" s="112" t="s">
        <v>64</v>
      </c>
      <c r="J75" s="36">
        <v>461316.25</v>
      </c>
      <c r="K75" s="36"/>
      <c r="L75" s="36">
        <v>3150</v>
      </c>
      <c r="M75" s="36"/>
      <c r="N75" s="36">
        <f t="shared" si="3"/>
        <v>2016350</v>
      </c>
      <c r="O75" s="36"/>
      <c r="P75" s="36">
        <v>2019500</v>
      </c>
      <c r="Q75" s="36"/>
      <c r="R75" s="36">
        <v>2019500</v>
      </c>
    </row>
    <row r="76" spans="1:18" s="7" customFormat="1" ht="12.75" customHeight="1" x14ac:dyDescent="0.2">
      <c r="A76" s="86" t="s">
        <v>76</v>
      </c>
      <c r="B76" s="111"/>
      <c r="C76" s="111"/>
      <c r="E76" s="112">
        <v>5</v>
      </c>
      <c r="F76" s="113" t="s">
        <v>12</v>
      </c>
      <c r="G76" s="112" t="s">
        <v>74</v>
      </c>
      <c r="H76" s="112" t="s">
        <v>60</v>
      </c>
      <c r="J76" s="36">
        <v>5398515.9400000004</v>
      </c>
      <c r="K76" s="36"/>
      <c r="L76" s="36">
        <v>42215.51</v>
      </c>
      <c r="M76" s="36"/>
      <c r="N76" s="36">
        <f t="shared" si="3"/>
        <v>5657784.4900000002</v>
      </c>
      <c r="O76" s="36"/>
      <c r="P76" s="36">
        <v>5700000</v>
      </c>
      <c r="Q76" s="36"/>
      <c r="R76" s="36">
        <v>5700000</v>
      </c>
    </row>
    <row r="77" spans="1:18" s="7" customFormat="1" ht="12.75" customHeight="1" x14ac:dyDescent="0.2">
      <c r="A77" s="86" t="s">
        <v>75</v>
      </c>
      <c r="B77" s="111"/>
      <c r="C77" s="111"/>
      <c r="E77" s="112">
        <v>5</v>
      </c>
      <c r="F77" s="113" t="s">
        <v>12</v>
      </c>
      <c r="G77" s="112" t="s">
        <v>74</v>
      </c>
      <c r="H77" s="112" t="s">
        <v>19</v>
      </c>
      <c r="J77" s="36">
        <v>28916</v>
      </c>
      <c r="K77" s="36"/>
      <c r="L77" s="36"/>
      <c r="M77" s="36"/>
      <c r="N77" s="36">
        <f t="shared" si="3"/>
        <v>200000</v>
      </c>
      <c r="O77" s="36"/>
      <c r="P77" s="36">
        <v>200000</v>
      </c>
      <c r="Q77" s="36"/>
      <c r="R77" s="36">
        <v>200000</v>
      </c>
    </row>
    <row r="78" spans="1:18" s="7" customFormat="1" ht="12.75" customHeight="1" x14ac:dyDescent="0.2">
      <c r="A78" s="86" t="s">
        <v>77</v>
      </c>
      <c r="B78" s="111"/>
      <c r="C78" s="111"/>
      <c r="E78" s="112">
        <v>5</v>
      </c>
      <c r="F78" s="113" t="s">
        <v>12</v>
      </c>
      <c r="G78" s="112" t="s">
        <v>74</v>
      </c>
      <c r="H78" s="112" t="s">
        <v>49</v>
      </c>
      <c r="J78" s="36"/>
      <c r="K78" s="36"/>
      <c r="L78" s="36"/>
      <c r="M78" s="36"/>
      <c r="N78" s="36">
        <f t="shared" si="3"/>
        <v>50000</v>
      </c>
      <c r="O78" s="36"/>
      <c r="P78" s="36">
        <v>50000</v>
      </c>
      <c r="Q78" s="36"/>
      <c r="R78" s="36">
        <v>50000</v>
      </c>
    </row>
    <row r="79" spans="1:18" s="7" customFormat="1" ht="12.75" customHeight="1" x14ac:dyDescent="0.2">
      <c r="A79" s="86" t="s">
        <v>172</v>
      </c>
      <c r="B79" s="111"/>
      <c r="C79" s="111"/>
      <c r="E79" s="112">
        <v>5</v>
      </c>
      <c r="F79" s="113" t="s">
        <v>12</v>
      </c>
      <c r="G79" s="112" t="s">
        <v>174</v>
      </c>
      <c r="H79" s="113" t="s">
        <v>8</v>
      </c>
      <c r="J79" s="36">
        <v>1067634.2</v>
      </c>
      <c r="K79" s="36"/>
      <c r="L79" s="36">
        <v>387210.74</v>
      </c>
      <c r="M79" s="36"/>
      <c r="N79" s="36">
        <f t="shared" si="3"/>
        <v>1349623.92</v>
      </c>
      <c r="O79" s="36"/>
      <c r="P79" s="36">
        <v>1736834.66</v>
      </c>
      <c r="Q79" s="36"/>
      <c r="R79" s="36">
        <v>1736834.66</v>
      </c>
    </row>
    <row r="80" spans="1:18" s="7" customFormat="1" ht="12.75" customHeight="1" x14ac:dyDescent="0.2">
      <c r="A80" s="86" t="s">
        <v>87</v>
      </c>
      <c r="B80" s="111"/>
      <c r="C80" s="111"/>
      <c r="E80" s="112">
        <v>5</v>
      </c>
      <c r="F80" s="113" t="s">
        <v>12</v>
      </c>
      <c r="G80" s="112" t="s">
        <v>174</v>
      </c>
      <c r="H80" s="113" t="s">
        <v>15</v>
      </c>
      <c r="J80" s="36">
        <v>115768.58</v>
      </c>
      <c r="K80" s="36"/>
      <c r="L80" s="36">
        <v>76616.899999999994</v>
      </c>
      <c r="M80" s="36"/>
      <c r="N80" s="36">
        <f t="shared" si="3"/>
        <v>63694.770000000019</v>
      </c>
      <c r="O80" s="36"/>
      <c r="P80" s="36">
        <v>140311.67000000001</v>
      </c>
      <c r="Q80" s="36"/>
      <c r="R80" s="36">
        <v>140311.67000000001</v>
      </c>
    </row>
    <row r="81" spans="1:18" s="7" customFormat="1" ht="12.75" customHeight="1" x14ac:dyDescent="0.2">
      <c r="A81" s="86" t="s">
        <v>62</v>
      </c>
      <c r="B81" s="111"/>
      <c r="C81" s="111"/>
      <c r="E81" s="112">
        <v>5</v>
      </c>
      <c r="F81" s="113" t="s">
        <v>12</v>
      </c>
      <c r="G81" s="112" t="s">
        <v>59</v>
      </c>
      <c r="H81" s="112" t="s">
        <v>10</v>
      </c>
      <c r="J81" s="36">
        <v>0</v>
      </c>
      <c r="K81" s="36"/>
      <c r="L81" s="36"/>
      <c r="M81" s="36"/>
      <c r="N81" s="36">
        <f t="shared" si="3"/>
        <v>10000</v>
      </c>
      <c r="O81" s="36"/>
      <c r="P81" s="36">
        <v>10000</v>
      </c>
      <c r="Q81" s="36"/>
      <c r="R81" s="36">
        <v>10000</v>
      </c>
    </row>
    <row r="82" spans="1:18" s="7" customFormat="1" ht="12.75" customHeight="1" x14ac:dyDescent="0.2">
      <c r="A82" s="86" t="s">
        <v>63</v>
      </c>
      <c r="B82" s="111"/>
      <c r="C82" s="111"/>
      <c r="E82" s="112">
        <v>5</v>
      </c>
      <c r="F82" s="113" t="s">
        <v>12</v>
      </c>
      <c r="G82" s="112" t="s">
        <v>59</v>
      </c>
      <c r="H82" s="112" t="s">
        <v>64</v>
      </c>
      <c r="J82" s="36">
        <v>655203.73</v>
      </c>
      <c r="K82" s="36"/>
      <c r="L82" s="36">
        <v>67143.5</v>
      </c>
      <c r="M82" s="36"/>
      <c r="N82" s="36">
        <f t="shared" si="3"/>
        <v>1032776.5</v>
      </c>
      <c r="O82" s="36"/>
      <c r="P82" s="36">
        <v>1099920</v>
      </c>
      <c r="Q82" s="36"/>
      <c r="R82" s="36">
        <v>1099920</v>
      </c>
    </row>
    <row r="83" spans="1:18" s="7" customFormat="1" ht="12.75" hidden="1" customHeight="1" x14ac:dyDescent="0.2">
      <c r="A83" s="86" t="s">
        <v>155</v>
      </c>
      <c r="B83" s="111"/>
      <c r="C83" s="111"/>
      <c r="E83" s="112">
        <v>5</v>
      </c>
      <c r="F83" s="113" t="s">
        <v>12</v>
      </c>
      <c r="G83" s="112" t="s">
        <v>59</v>
      </c>
      <c r="H83" s="112" t="s">
        <v>15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156</v>
      </c>
      <c r="B84" s="111"/>
      <c r="C84" s="111"/>
      <c r="E84" s="112">
        <v>5</v>
      </c>
      <c r="F84" s="112" t="s">
        <v>12</v>
      </c>
      <c r="G84" s="112" t="s">
        <v>59</v>
      </c>
      <c r="H84" s="112" t="s">
        <v>17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63</v>
      </c>
      <c r="B85" s="111"/>
      <c r="C85" s="111"/>
      <c r="E85" s="112">
        <v>5</v>
      </c>
      <c r="F85" s="113" t="s">
        <v>12</v>
      </c>
      <c r="G85" s="112" t="s">
        <v>59</v>
      </c>
      <c r="H85" s="112" t="s">
        <v>64</v>
      </c>
      <c r="J85" s="36"/>
      <c r="K85" s="36"/>
      <c r="L85" s="36"/>
      <c r="M85" s="36"/>
      <c r="N85" s="36">
        <f t="shared" ref="N85:N111" si="4">P85-L85</f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65</v>
      </c>
      <c r="B86" s="111"/>
      <c r="C86" s="111"/>
      <c r="E86" s="112">
        <v>5</v>
      </c>
      <c r="F86" s="113" t="s">
        <v>12</v>
      </c>
      <c r="G86" s="112" t="s">
        <v>59</v>
      </c>
      <c r="H86" s="112" t="s">
        <v>19</v>
      </c>
      <c r="J86" s="36"/>
      <c r="K86" s="36"/>
      <c r="L86" s="36"/>
      <c r="M86" s="36"/>
      <c r="N86" s="36">
        <f t="shared" si="4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157</v>
      </c>
      <c r="B87" s="111"/>
      <c r="C87" s="111"/>
      <c r="E87" s="112">
        <v>5</v>
      </c>
      <c r="F87" s="113" t="s">
        <v>12</v>
      </c>
      <c r="G87" s="112" t="s">
        <v>93</v>
      </c>
      <c r="H87" s="112" t="s">
        <v>8</v>
      </c>
      <c r="J87" s="36"/>
      <c r="K87" s="36"/>
      <c r="L87" s="36"/>
      <c r="M87" s="36"/>
      <c r="N87" s="36">
        <f t="shared" si="4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66</v>
      </c>
      <c r="B88" s="111"/>
      <c r="C88" s="111"/>
      <c r="E88" s="112">
        <v>5</v>
      </c>
      <c r="F88" s="113" t="s">
        <v>12</v>
      </c>
      <c r="G88" s="112" t="s">
        <v>67</v>
      </c>
      <c r="H88" s="112" t="s">
        <v>8</v>
      </c>
      <c r="J88" s="36"/>
      <c r="K88" s="36"/>
      <c r="L88" s="36"/>
      <c r="M88" s="36"/>
      <c r="N88" s="36">
        <f t="shared" si="4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68</v>
      </c>
      <c r="B89" s="111"/>
      <c r="C89" s="111"/>
      <c r="E89" s="112">
        <v>5</v>
      </c>
      <c r="F89" s="113" t="s">
        <v>12</v>
      </c>
      <c r="G89" s="112" t="s">
        <v>67</v>
      </c>
      <c r="H89" s="112" t="s">
        <v>10</v>
      </c>
      <c r="J89" s="36"/>
      <c r="K89" s="36"/>
      <c r="L89" s="36"/>
      <c r="M89" s="36"/>
      <c r="N89" s="36">
        <f t="shared" si="4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158</v>
      </c>
      <c r="B90" s="111"/>
      <c r="C90" s="111"/>
      <c r="E90" s="112">
        <v>5</v>
      </c>
      <c r="F90" s="113" t="s">
        <v>12</v>
      </c>
      <c r="G90" s="112" t="s">
        <v>70</v>
      </c>
      <c r="H90" s="112" t="s">
        <v>8</v>
      </c>
      <c r="J90" s="36"/>
      <c r="K90" s="36"/>
      <c r="L90" s="36"/>
      <c r="M90" s="36"/>
      <c r="N90" s="36">
        <f t="shared" si="4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159</v>
      </c>
      <c r="B91" s="111"/>
      <c r="C91" s="111"/>
      <c r="E91" s="112">
        <v>5</v>
      </c>
      <c r="F91" s="113" t="s">
        <v>12</v>
      </c>
      <c r="G91" s="112" t="s">
        <v>70</v>
      </c>
      <c r="H91" s="112" t="s">
        <v>10</v>
      </c>
      <c r="J91" s="36"/>
      <c r="K91" s="36"/>
      <c r="L91" s="36"/>
      <c r="M91" s="36"/>
      <c r="N91" s="36">
        <f t="shared" si="4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69</v>
      </c>
      <c r="B92" s="111"/>
      <c r="C92" s="111"/>
      <c r="E92" s="112">
        <v>5</v>
      </c>
      <c r="F92" s="113" t="s">
        <v>12</v>
      </c>
      <c r="G92" s="112" t="s">
        <v>70</v>
      </c>
      <c r="H92" s="112" t="s">
        <v>15</v>
      </c>
      <c r="J92" s="36"/>
      <c r="K92" s="36"/>
      <c r="L92" s="36"/>
      <c r="M92" s="36"/>
      <c r="N92" s="36">
        <f t="shared" si="4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160</v>
      </c>
      <c r="B93" s="111"/>
      <c r="C93" s="111"/>
      <c r="E93" s="112">
        <v>5</v>
      </c>
      <c r="F93" s="113" t="s">
        <v>12</v>
      </c>
      <c r="G93" s="112" t="s">
        <v>163</v>
      </c>
      <c r="H93" s="112" t="s">
        <v>8</v>
      </c>
      <c r="J93" s="36"/>
      <c r="K93" s="36"/>
      <c r="L93" s="36"/>
      <c r="M93" s="36"/>
      <c r="N93" s="36">
        <f t="shared" si="4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161</v>
      </c>
      <c r="B94" s="111"/>
      <c r="C94" s="111"/>
      <c r="E94" s="112">
        <v>5</v>
      </c>
      <c r="F94" s="113" t="s">
        <v>12</v>
      </c>
      <c r="G94" s="112" t="s">
        <v>163</v>
      </c>
      <c r="H94" s="114" t="s">
        <v>49</v>
      </c>
      <c r="J94" s="36"/>
      <c r="K94" s="36"/>
      <c r="L94" s="36"/>
      <c r="M94" s="36"/>
      <c r="N94" s="36">
        <f t="shared" si="4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162</v>
      </c>
      <c r="B95" s="111"/>
      <c r="C95" s="111"/>
      <c r="E95" s="112">
        <v>5</v>
      </c>
      <c r="F95" s="113" t="s">
        <v>12</v>
      </c>
      <c r="G95" s="112" t="s">
        <v>163</v>
      </c>
      <c r="H95" s="112" t="s">
        <v>15</v>
      </c>
      <c r="J95" s="36"/>
      <c r="K95" s="36"/>
      <c r="L95" s="36"/>
      <c r="M95" s="36"/>
      <c r="N95" s="36">
        <f t="shared" si="4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72</v>
      </c>
      <c r="B96" s="111"/>
      <c r="C96" s="111"/>
      <c r="E96" s="112">
        <v>5</v>
      </c>
      <c r="F96" s="113" t="s">
        <v>12</v>
      </c>
      <c r="G96" s="112" t="s">
        <v>70</v>
      </c>
      <c r="H96" s="112" t="s">
        <v>49</v>
      </c>
      <c r="J96" s="36"/>
      <c r="K96" s="36"/>
      <c r="L96" s="36"/>
      <c r="M96" s="36"/>
      <c r="N96" s="36">
        <f t="shared" si="4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164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10</v>
      </c>
      <c r="J97" s="36"/>
      <c r="K97" s="36"/>
      <c r="L97" s="36"/>
      <c r="M97" s="36"/>
      <c r="N97" s="36">
        <f t="shared" si="4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167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8</v>
      </c>
      <c r="J98" s="36"/>
      <c r="K98" s="36"/>
      <c r="L98" s="36"/>
      <c r="M98" s="36"/>
      <c r="N98" s="36">
        <f t="shared" si="4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168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45</v>
      </c>
      <c r="J99" s="36"/>
      <c r="K99" s="36"/>
      <c r="L99" s="36"/>
      <c r="M99" s="36"/>
      <c r="N99" s="36">
        <f t="shared" si="4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165</v>
      </c>
      <c r="B100" s="111"/>
      <c r="C100" s="111"/>
      <c r="E100" s="112">
        <v>5</v>
      </c>
      <c r="F100" s="113" t="s">
        <v>12</v>
      </c>
      <c r="G100" s="112" t="s">
        <v>74</v>
      </c>
      <c r="H100" s="112" t="s">
        <v>15</v>
      </c>
      <c r="J100" s="36"/>
      <c r="K100" s="36"/>
      <c r="L100" s="36"/>
      <c r="M100" s="36"/>
      <c r="N100" s="36">
        <f t="shared" si="4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78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10</v>
      </c>
      <c r="J101" s="36"/>
      <c r="K101" s="36"/>
      <c r="L101" s="36"/>
      <c r="M101" s="36"/>
      <c r="N101" s="36">
        <f t="shared" si="4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80</v>
      </c>
      <c r="B102" s="111"/>
      <c r="C102" s="111"/>
      <c r="E102" s="112">
        <v>5</v>
      </c>
      <c r="F102" s="113" t="s">
        <v>12</v>
      </c>
      <c r="G102" s="112" t="s">
        <v>79</v>
      </c>
      <c r="H102" s="112" t="s">
        <v>15</v>
      </c>
      <c r="J102" s="36"/>
      <c r="K102" s="36"/>
      <c r="L102" s="36"/>
      <c r="M102" s="36"/>
      <c r="N102" s="36">
        <f t="shared" si="4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169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60</v>
      </c>
      <c r="J103" s="36"/>
      <c r="K103" s="36"/>
      <c r="L103" s="36"/>
      <c r="M103" s="36"/>
      <c r="N103" s="36">
        <f t="shared" si="4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170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19</v>
      </c>
      <c r="J104" s="36"/>
      <c r="K104" s="36"/>
      <c r="L104" s="36"/>
      <c r="M104" s="36"/>
      <c r="N104" s="36">
        <f t="shared" si="4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171</v>
      </c>
      <c r="B105" s="111"/>
      <c r="C105" s="111"/>
      <c r="E105" s="112">
        <v>5</v>
      </c>
      <c r="F105" s="113" t="s">
        <v>12</v>
      </c>
      <c r="G105" s="112" t="s">
        <v>79</v>
      </c>
      <c r="H105" s="113" t="s">
        <v>82</v>
      </c>
      <c r="J105" s="36"/>
      <c r="K105" s="36"/>
      <c r="L105" s="36"/>
      <c r="M105" s="36"/>
      <c r="N105" s="36">
        <f t="shared" si="4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81</v>
      </c>
      <c r="B106" s="111"/>
      <c r="C106" s="111"/>
      <c r="E106" s="112">
        <v>5</v>
      </c>
      <c r="F106" s="113" t="s">
        <v>12</v>
      </c>
      <c r="G106" s="112" t="s">
        <v>59</v>
      </c>
      <c r="H106" s="113" t="s">
        <v>82</v>
      </c>
      <c r="J106" s="36"/>
      <c r="K106" s="36"/>
      <c r="L106" s="36"/>
      <c r="M106" s="36"/>
      <c r="N106" s="36">
        <f t="shared" si="4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83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8</v>
      </c>
      <c r="J107" s="36"/>
      <c r="K107" s="36"/>
      <c r="L107" s="36"/>
      <c r="M107" s="36"/>
      <c r="N107" s="36">
        <f t="shared" si="4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85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10</v>
      </c>
      <c r="J108" s="36"/>
      <c r="K108" s="36"/>
      <c r="L108" s="36"/>
      <c r="M108" s="36"/>
      <c r="N108" s="36">
        <f t="shared" si="4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86</v>
      </c>
      <c r="B109" s="111"/>
      <c r="C109" s="111"/>
      <c r="E109" s="112">
        <v>5</v>
      </c>
      <c r="F109" s="113" t="s">
        <v>12</v>
      </c>
      <c r="G109" s="112" t="s">
        <v>84</v>
      </c>
      <c r="H109" s="113" t="s">
        <v>15</v>
      </c>
      <c r="J109" s="36"/>
      <c r="K109" s="36"/>
      <c r="L109" s="36"/>
      <c r="M109" s="36"/>
      <c r="N109" s="36">
        <f t="shared" si="4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4"/>
        <v>0</v>
      </c>
      <c r="O110" s="36"/>
      <c r="P110" s="36"/>
      <c r="Q110" s="36"/>
      <c r="R110" s="36"/>
    </row>
    <row r="111" spans="1:18" s="7" customFormat="1" ht="12.75" customHeight="1" x14ac:dyDescent="0.2">
      <c r="A111" s="86" t="s">
        <v>260</v>
      </c>
      <c r="B111" s="111"/>
      <c r="C111" s="111"/>
      <c r="E111" s="112">
        <v>5</v>
      </c>
      <c r="F111" s="113" t="s">
        <v>12</v>
      </c>
      <c r="G111" s="134">
        <v>99</v>
      </c>
      <c r="H111" s="135">
        <v>990</v>
      </c>
      <c r="J111" s="36">
        <v>99532.5</v>
      </c>
      <c r="K111" s="36"/>
      <c r="L111" s="36">
        <v>30000</v>
      </c>
      <c r="M111" s="36"/>
      <c r="N111" s="36">
        <f t="shared" si="4"/>
        <v>20000</v>
      </c>
      <c r="O111" s="36"/>
      <c r="P111" s="36">
        <v>50000</v>
      </c>
      <c r="Q111" s="36"/>
      <c r="R111" s="36">
        <v>50000</v>
      </c>
    </row>
    <row r="112" spans="1:18" s="7" customFormat="1" ht="13.5" customHeight="1" x14ac:dyDescent="0.2">
      <c r="A112" s="323" t="s">
        <v>191</v>
      </c>
      <c r="B112" s="323"/>
      <c r="C112" s="323"/>
      <c r="J112" s="161">
        <f>SUM(J45:J111)</f>
        <v>25208439.880000003</v>
      </c>
      <c r="K112" s="162"/>
      <c r="L112" s="161">
        <f>SUM(L45:L111)</f>
        <v>9045910.709999999</v>
      </c>
      <c r="M112" s="36"/>
      <c r="N112" s="161">
        <f>SUM(N45:N111)</f>
        <v>54930655.620000005</v>
      </c>
      <c r="O112" s="36"/>
      <c r="P112" s="161">
        <f>SUM(P45:P111)</f>
        <v>63976566.329999998</v>
      </c>
      <c r="Q112" s="36"/>
      <c r="R112" s="161">
        <f>SUM(R45:R111)</f>
        <v>66376566.329999998</v>
      </c>
    </row>
    <row r="113" spans="1:18" s="7" customFormat="1" ht="6" customHeight="1" x14ac:dyDescent="0.2">
      <c r="A113" s="20"/>
      <c r="B113" s="20"/>
      <c r="C113" s="20"/>
      <c r="J113" s="162"/>
      <c r="K113" s="162"/>
      <c r="L113" s="36"/>
      <c r="M113" s="36"/>
      <c r="N113" s="36"/>
      <c r="O113" s="36"/>
      <c r="P113" s="36"/>
      <c r="Q113" s="36"/>
      <c r="R113" s="36"/>
    </row>
    <row r="114" spans="1:18" s="7" customFormat="1" ht="12" hidden="1" customHeight="1" x14ac:dyDescent="0.2">
      <c r="A114" s="69" t="s">
        <v>189</v>
      </c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s="7" customFormat="1" ht="11.25" hidden="1" customHeight="1" x14ac:dyDescent="0.2">
      <c r="A115" s="86" t="s">
        <v>109</v>
      </c>
      <c r="E115" s="112">
        <v>5</v>
      </c>
      <c r="F115" s="113" t="s">
        <v>29</v>
      </c>
      <c r="G115" s="112" t="s">
        <v>7</v>
      </c>
      <c r="H115" s="112" t="s">
        <v>17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1.25" hidden="1" customHeight="1" x14ac:dyDescent="0.2">
      <c r="A116" s="86" t="s">
        <v>180</v>
      </c>
      <c r="E116" s="112">
        <v>5</v>
      </c>
      <c r="F116" s="113" t="s">
        <v>29</v>
      </c>
      <c r="G116" s="112" t="s">
        <v>7</v>
      </c>
      <c r="H116" s="112" t="s">
        <v>64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1.25" hidden="1" customHeight="1" x14ac:dyDescent="0.2">
      <c r="A117" s="86" t="s">
        <v>182</v>
      </c>
      <c r="E117" s="112">
        <v>5</v>
      </c>
      <c r="F117" s="113" t="s">
        <v>29</v>
      </c>
      <c r="G117" s="112" t="s">
        <v>7</v>
      </c>
      <c r="H117" s="112" t="s">
        <v>10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1.25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183</v>
      </c>
      <c r="E119" s="112">
        <v>5</v>
      </c>
      <c r="F119" s="113" t="s">
        <v>29</v>
      </c>
      <c r="G119" s="112" t="s">
        <v>7</v>
      </c>
      <c r="H119" s="112" t="s">
        <v>8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184</v>
      </c>
      <c r="E120" s="112">
        <v>5</v>
      </c>
      <c r="F120" s="113" t="s">
        <v>29</v>
      </c>
      <c r="G120" s="112" t="s">
        <v>7</v>
      </c>
      <c r="H120" s="112" t="s">
        <v>15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8.95" hidden="1" customHeight="1" x14ac:dyDescent="0.2">
      <c r="A121" s="63" t="s">
        <v>185</v>
      </c>
      <c r="J121" s="21">
        <v>0</v>
      </c>
      <c r="K121" s="172"/>
      <c r="L121" s="21">
        <v>0</v>
      </c>
      <c r="M121" s="172"/>
      <c r="N121" s="21">
        <v>0</v>
      </c>
      <c r="O121" s="172"/>
      <c r="P121" s="21">
        <v>0</v>
      </c>
      <c r="Q121" s="172"/>
      <c r="R121" s="171">
        <f>SUM(R115:R120)</f>
        <v>0</v>
      </c>
    </row>
    <row r="122" spans="1:18" s="7" customFormat="1" ht="6" hidden="1" customHeight="1" x14ac:dyDescent="0.2"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.75" customHeight="1" x14ac:dyDescent="0.2">
      <c r="A123" s="68" t="s">
        <v>190</v>
      </c>
      <c r="B123" s="11"/>
      <c r="C123" s="11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6" customHeight="1" x14ac:dyDescent="0.2">
      <c r="A124" s="11"/>
      <c r="B124" s="24"/>
      <c r="C124" s="24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2.75" customHeight="1" x14ac:dyDescent="0.2">
      <c r="A125" s="86" t="s">
        <v>90</v>
      </c>
      <c r="B125" s="111"/>
      <c r="C125" s="111"/>
      <c r="E125" s="112">
        <v>1</v>
      </c>
      <c r="F125" s="128" t="s">
        <v>12</v>
      </c>
      <c r="G125" s="114" t="s">
        <v>54</v>
      </c>
      <c r="H125" s="114" t="s">
        <v>10</v>
      </c>
      <c r="J125" s="36"/>
      <c r="K125" s="36"/>
      <c r="L125" s="36">
        <v>15245.5</v>
      </c>
      <c r="M125" s="36"/>
      <c r="N125" s="36">
        <f t="shared" ref="N125" si="5">P125-L125</f>
        <v>2184754.5</v>
      </c>
      <c r="O125" s="36"/>
      <c r="P125" s="36">
        <v>2200000</v>
      </c>
      <c r="Q125" s="36"/>
      <c r="R125" s="36">
        <v>2200000</v>
      </c>
    </row>
    <row r="126" spans="1:18" s="7" customFormat="1" ht="12.75" hidden="1" customHeight="1" x14ac:dyDescent="0.2">
      <c r="A126" s="86" t="s">
        <v>94</v>
      </c>
      <c r="B126" s="111"/>
      <c r="C126" s="111"/>
      <c r="E126" s="112">
        <v>1</v>
      </c>
      <c r="F126" s="113" t="s">
        <v>93</v>
      </c>
      <c r="G126" s="112" t="s">
        <v>34</v>
      </c>
      <c r="H126" s="112" t="s">
        <v>8</v>
      </c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86" t="s">
        <v>95</v>
      </c>
      <c r="B127" s="116"/>
      <c r="C127" s="116"/>
      <c r="E127" s="112">
        <v>1</v>
      </c>
      <c r="F127" s="113" t="s">
        <v>93</v>
      </c>
      <c r="G127" s="112" t="s">
        <v>34</v>
      </c>
      <c r="H127" s="112" t="s">
        <v>49</v>
      </c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customHeight="1" x14ac:dyDescent="0.2">
      <c r="A128" s="86" t="s">
        <v>96</v>
      </c>
      <c r="B128" s="116"/>
      <c r="C128" s="116"/>
      <c r="D128" s="113"/>
      <c r="E128" s="112">
        <v>1</v>
      </c>
      <c r="F128" s="113" t="s">
        <v>93</v>
      </c>
      <c r="G128" s="112" t="s">
        <v>54</v>
      </c>
      <c r="H128" s="112" t="s">
        <v>10</v>
      </c>
      <c r="J128" s="36"/>
      <c r="K128" s="36"/>
      <c r="L128" s="36"/>
      <c r="M128" s="36"/>
      <c r="N128" s="36">
        <f t="shared" ref="N128" si="6">P128-L128</f>
        <v>1230000</v>
      </c>
      <c r="O128" s="36"/>
      <c r="P128" s="36">
        <v>1230000</v>
      </c>
      <c r="Q128" s="36"/>
      <c r="R128" s="36"/>
    </row>
    <row r="129" spans="1:18" s="7" customFormat="1" ht="12.75" hidden="1" customHeight="1" x14ac:dyDescent="0.2">
      <c r="A129" s="86" t="s">
        <v>97</v>
      </c>
      <c r="B129" s="111"/>
      <c r="C129" s="111"/>
      <c r="E129" s="112">
        <v>1</v>
      </c>
      <c r="F129" s="113" t="s">
        <v>93</v>
      </c>
      <c r="G129" s="112" t="s">
        <v>93</v>
      </c>
      <c r="H129" s="112" t="s">
        <v>8</v>
      </c>
      <c r="J129" s="36"/>
      <c r="K129" s="36"/>
      <c r="L129" s="36"/>
      <c r="M129" s="36"/>
      <c r="N129" s="36">
        <f t="shared" ref="N129:N141" si="7">P129-L129</f>
        <v>0</v>
      </c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98</v>
      </c>
      <c r="B130" s="116"/>
      <c r="C130" s="116"/>
      <c r="E130" s="112">
        <v>1</v>
      </c>
      <c r="F130" s="113" t="s">
        <v>93</v>
      </c>
      <c r="G130" s="112" t="s">
        <v>54</v>
      </c>
      <c r="H130" s="112" t="s">
        <v>15</v>
      </c>
      <c r="J130" s="36"/>
      <c r="K130" s="36"/>
      <c r="L130" s="36"/>
      <c r="M130" s="36"/>
      <c r="N130" s="36">
        <f t="shared" si="7"/>
        <v>0</v>
      </c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99</v>
      </c>
      <c r="B131" s="116"/>
      <c r="C131" s="116"/>
      <c r="D131" s="113"/>
      <c r="E131" s="112">
        <v>1</v>
      </c>
      <c r="F131" s="113" t="s">
        <v>93</v>
      </c>
      <c r="G131" s="112" t="s">
        <v>93</v>
      </c>
      <c r="H131" s="112" t="s">
        <v>10</v>
      </c>
      <c r="J131" s="36"/>
      <c r="K131" s="36"/>
      <c r="L131" s="36"/>
      <c r="M131" s="36"/>
      <c r="N131" s="36">
        <f t="shared" si="7"/>
        <v>0</v>
      </c>
      <c r="O131" s="36"/>
      <c r="P131" s="36"/>
      <c r="Q131" s="36"/>
      <c r="R131" s="36"/>
    </row>
    <row r="132" spans="1:18" s="7" customFormat="1" ht="12.75" hidden="1" customHeight="1" x14ac:dyDescent="0.2">
      <c r="A132" s="86" t="s">
        <v>100</v>
      </c>
      <c r="B132" s="111"/>
      <c r="C132" s="111"/>
      <c r="E132" s="112">
        <v>1</v>
      </c>
      <c r="F132" s="113" t="s">
        <v>93</v>
      </c>
      <c r="G132" s="112" t="s">
        <v>54</v>
      </c>
      <c r="H132" s="112" t="s">
        <v>19</v>
      </c>
      <c r="J132" s="36"/>
      <c r="K132" s="36"/>
      <c r="L132" s="36"/>
      <c r="M132" s="36"/>
      <c r="N132" s="36">
        <f t="shared" si="7"/>
        <v>0</v>
      </c>
      <c r="O132" s="36"/>
      <c r="P132" s="36"/>
      <c r="Q132" s="36"/>
      <c r="R132" s="36"/>
    </row>
    <row r="133" spans="1:18" s="7" customFormat="1" ht="12.75" hidden="1" customHeight="1" x14ac:dyDescent="0.2">
      <c r="A133" s="86" t="s">
        <v>175</v>
      </c>
      <c r="B133" s="111"/>
      <c r="C133" s="111"/>
      <c r="E133" s="112">
        <v>1</v>
      </c>
      <c r="F133" s="113" t="s">
        <v>93</v>
      </c>
      <c r="G133" s="112" t="s">
        <v>54</v>
      </c>
      <c r="H133" s="112" t="s">
        <v>82</v>
      </c>
      <c r="J133" s="36"/>
      <c r="K133" s="36"/>
      <c r="L133" s="36"/>
      <c r="M133" s="36"/>
      <c r="N133" s="36">
        <f t="shared" si="7"/>
        <v>0</v>
      </c>
      <c r="O133" s="36"/>
      <c r="P133" s="36"/>
      <c r="Q133" s="36"/>
      <c r="R133" s="36"/>
    </row>
    <row r="134" spans="1:18" s="7" customFormat="1" ht="12.75" hidden="1" customHeight="1" x14ac:dyDescent="0.2">
      <c r="A134" s="86" t="s">
        <v>176</v>
      </c>
      <c r="B134" s="111"/>
      <c r="C134" s="111"/>
      <c r="E134" s="112">
        <v>1</v>
      </c>
      <c r="F134" s="113" t="s">
        <v>93</v>
      </c>
      <c r="G134" s="112" t="s">
        <v>54</v>
      </c>
      <c r="H134" s="112" t="s">
        <v>45</v>
      </c>
      <c r="J134" s="36"/>
      <c r="K134" s="36"/>
      <c r="L134" s="36"/>
      <c r="M134" s="36"/>
      <c r="N134" s="36">
        <f t="shared" si="7"/>
        <v>0</v>
      </c>
      <c r="O134" s="36"/>
      <c r="P134" s="36"/>
      <c r="Q134" s="36"/>
      <c r="R134" s="36"/>
    </row>
    <row r="135" spans="1:18" s="7" customFormat="1" ht="12.75" hidden="1" customHeight="1" x14ac:dyDescent="0.2">
      <c r="A135" s="86" t="s">
        <v>177</v>
      </c>
      <c r="B135" s="111"/>
      <c r="C135" s="111"/>
      <c r="E135" s="112">
        <v>1</v>
      </c>
      <c r="F135" s="113" t="s">
        <v>93</v>
      </c>
      <c r="G135" s="112" t="s">
        <v>54</v>
      </c>
      <c r="H135" s="112" t="s">
        <v>146</v>
      </c>
      <c r="J135" s="36"/>
      <c r="K135" s="36"/>
      <c r="L135" s="36"/>
      <c r="M135" s="36"/>
      <c r="N135" s="36">
        <f t="shared" si="7"/>
        <v>0</v>
      </c>
      <c r="O135" s="36"/>
      <c r="P135" s="36"/>
      <c r="Q135" s="36"/>
      <c r="R135" s="36"/>
    </row>
    <row r="136" spans="1:18" s="7" customFormat="1" ht="12.75" hidden="1" customHeight="1" x14ac:dyDescent="0.2">
      <c r="A136" s="86" t="s">
        <v>101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102</v>
      </c>
      <c r="J136" s="36"/>
      <c r="K136" s="36"/>
      <c r="L136" s="36"/>
      <c r="M136" s="36"/>
      <c r="N136" s="36">
        <f t="shared" si="7"/>
        <v>0</v>
      </c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103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24</v>
      </c>
      <c r="J137" s="36"/>
      <c r="K137" s="36"/>
      <c r="L137" s="36"/>
      <c r="M137" s="36"/>
      <c r="N137" s="36">
        <f t="shared" si="7"/>
        <v>0</v>
      </c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104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28</v>
      </c>
      <c r="J138" s="36"/>
      <c r="K138" s="36"/>
      <c r="L138" s="36"/>
      <c r="M138" s="36"/>
      <c r="N138" s="36">
        <f t="shared" si="7"/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105</v>
      </c>
      <c r="B139" s="111"/>
      <c r="C139" s="111"/>
      <c r="D139" s="113"/>
      <c r="E139" s="112">
        <v>1</v>
      </c>
      <c r="F139" s="113" t="s">
        <v>93</v>
      </c>
      <c r="G139" s="112" t="s">
        <v>54</v>
      </c>
      <c r="H139" s="114" t="s">
        <v>49</v>
      </c>
      <c r="J139" s="36"/>
      <c r="K139" s="36"/>
      <c r="L139" s="36"/>
      <c r="M139" s="36"/>
      <c r="N139" s="36">
        <f t="shared" si="7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106</v>
      </c>
      <c r="B140" s="111"/>
      <c r="C140" s="111"/>
      <c r="D140" s="113"/>
      <c r="E140" s="112">
        <v>1</v>
      </c>
      <c r="F140" s="113" t="s">
        <v>93</v>
      </c>
      <c r="G140" s="112" t="s">
        <v>67</v>
      </c>
      <c r="H140" s="112" t="s">
        <v>8</v>
      </c>
      <c r="J140" s="36"/>
      <c r="K140" s="36"/>
      <c r="L140" s="36"/>
      <c r="M140" s="36"/>
      <c r="N140" s="36">
        <f t="shared" si="7"/>
        <v>0</v>
      </c>
      <c r="O140" s="36"/>
      <c r="P140" s="36"/>
      <c r="Q140" s="36"/>
      <c r="R140" s="36"/>
    </row>
    <row r="141" spans="1:18" s="7" customFormat="1" ht="12.75" customHeight="1" x14ac:dyDescent="0.2">
      <c r="A141" s="86" t="s">
        <v>107</v>
      </c>
      <c r="B141" s="111"/>
      <c r="C141" s="111"/>
      <c r="D141" s="113"/>
      <c r="E141" s="112">
        <v>1</v>
      </c>
      <c r="F141" s="113" t="s">
        <v>93</v>
      </c>
      <c r="G141" s="112" t="s">
        <v>59</v>
      </c>
      <c r="H141" s="114" t="s">
        <v>49</v>
      </c>
      <c r="J141" s="36">
        <v>0</v>
      </c>
      <c r="K141" s="36"/>
      <c r="L141" s="36"/>
      <c r="M141" s="36"/>
      <c r="N141" s="36">
        <f t="shared" si="7"/>
        <v>120000</v>
      </c>
      <c r="O141" s="36"/>
      <c r="P141" s="36">
        <v>120000</v>
      </c>
      <c r="Q141" s="36"/>
      <c r="R141" s="36">
        <v>50000</v>
      </c>
    </row>
    <row r="142" spans="1:18" s="7" customFormat="1" ht="12.75" hidden="1" customHeight="1" x14ac:dyDescent="0.2">
      <c r="A142" s="86" t="s">
        <v>178</v>
      </c>
      <c r="B142" s="111"/>
      <c r="C142" s="111"/>
      <c r="D142" s="113"/>
      <c r="E142" s="112">
        <v>1</v>
      </c>
      <c r="F142" s="113" t="s">
        <v>93</v>
      </c>
      <c r="G142" s="112" t="s">
        <v>29</v>
      </c>
      <c r="H142" s="112" t="s">
        <v>8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179</v>
      </c>
      <c r="B143" s="111"/>
      <c r="C143" s="111"/>
      <c r="D143" s="113"/>
      <c r="E143" s="112">
        <v>1</v>
      </c>
      <c r="F143" s="113" t="s">
        <v>93</v>
      </c>
      <c r="G143" s="112" t="s">
        <v>29</v>
      </c>
      <c r="H143" s="112" t="s">
        <v>45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242</v>
      </c>
      <c r="B144" s="111"/>
      <c r="C144" s="111"/>
      <c r="D144" s="113"/>
      <c r="E144" s="112">
        <v>1</v>
      </c>
      <c r="F144" s="113" t="s">
        <v>93</v>
      </c>
      <c r="G144" s="112" t="s">
        <v>29</v>
      </c>
      <c r="H144" s="112" t="s">
        <v>64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21" s="27" customFormat="1" ht="15" customHeight="1" x14ac:dyDescent="0.2">
      <c r="A145" s="63" t="s">
        <v>108</v>
      </c>
      <c r="B145" s="26"/>
      <c r="C145" s="26"/>
      <c r="J145" s="21">
        <f>SUM(J125:J144)</f>
        <v>0</v>
      </c>
      <c r="K145" s="23"/>
      <c r="L145" s="21">
        <f>SUM(L125:L144)</f>
        <v>15245.5</v>
      </c>
      <c r="M145" s="172"/>
      <c r="N145" s="21">
        <f>SUM(N125:N144)</f>
        <v>3534754.5</v>
      </c>
      <c r="O145" s="172"/>
      <c r="P145" s="21">
        <f>SUM(P125:P144)</f>
        <v>3550000</v>
      </c>
      <c r="Q145" s="172"/>
      <c r="R145" s="21">
        <f>SUM(R125:R141)</f>
        <v>2250000</v>
      </c>
    </row>
    <row r="146" spans="1:21" s="7" customFormat="1" ht="13.5" customHeight="1" x14ac:dyDescent="0.2"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21" s="7" customFormat="1" ht="13.5" customHeight="1" thickBot="1" x14ac:dyDescent="0.25">
      <c r="A147" s="11" t="s">
        <v>110</v>
      </c>
      <c r="B147" s="28"/>
      <c r="C147" s="28"/>
      <c r="J147" s="29">
        <f>J42+J112+J121+J145</f>
        <v>50176108.790000007</v>
      </c>
      <c r="K147" s="23"/>
      <c r="L147" s="29">
        <f>L42+L112+L121+L145</f>
        <v>21694862.57</v>
      </c>
      <c r="M147" s="36"/>
      <c r="N147" s="29">
        <f>N42+N112+N121+N145</f>
        <v>74868342.840000004</v>
      </c>
      <c r="O147" s="36"/>
      <c r="P147" s="29">
        <f>P42+P112+P121+P145</f>
        <v>96563205.409999996</v>
      </c>
      <c r="Q147" s="36"/>
      <c r="R147" s="29">
        <f>R42+R112+R121+R145</f>
        <v>96851708.129999995</v>
      </c>
    </row>
    <row r="148" spans="1:21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175"/>
      <c r="K148" s="175"/>
      <c r="L148" s="175"/>
      <c r="M148" s="175"/>
      <c r="N148" s="36"/>
      <c r="O148" s="36"/>
      <c r="P148" s="36"/>
      <c r="Q148" s="36"/>
      <c r="R148" s="36"/>
      <c r="U148" s="7">
        <f>L147-12482290.42</f>
        <v>9212572.1500000004</v>
      </c>
    </row>
    <row r="149" spans="1:21" s="7" customFormat="1" x14ac:dyDescent="0.2">
      <c r="A149" s="31"/>
      <c r="B149" s="31"/>
      <c r="C149" s="31"/>
      <c r="D149" s="34"/>
      <c r="E149" s="31"/>
      <c r="F149" s="31"/>
      <c r="H149" s="35"/>
      <c r="I149" s="35"/>
      <c r="J149" s="175"/>
      <c r="K149" s="175"/>
      <c r="L149" s="175"/>
      <c r="M149" s="175"/>
      <c r="N149" s="36"/>
      <c r="O149" s="36"/>
      <c r="P149" s="36"/>
      <c r="Q149" s="36"/>
      <c r="R149" s="36"/>
    </row>
    <row r="150" spans="1:21" x14ac:dyDescent="0.2">
      <c r="A150" s="321" t="s">
        <v>133</v>
      </c>
      <c r="B150" s="321"/>
      <c r="C150" s="321"/>
      <c r="D150" s="33"/>
      <c r="E150" s="32"/>
      <c r="G150" s="31"/>
      <c r="I150" s="31"/>
      <c r="J150" s="324" t="s">
        <v>134</v>
      </c>
      <c r="K150" s="324"/>
      <c r="L150" s="324"/>
      <c r="M150" s="176"/>
      <c r="N150" s="49"/>
      <c r="O150" s="49"/>
      <c r="P150" s="324" t="s">
        <v>135</v>
      </c>
      <c r="Q150" s="324"/>
      <c r="R150" s="324"/>
    </row>
    <row r="151" spans="1:21" x14ac:dyDescent="0.2">
      <c r="A151" s="50"/>
      <c r="D151" s="33"/>
      <c r="E151" s="51"/>
      <c r="G151" s="31"/>
      <c r="I151" s="31"/>
      <c r="J151" s="163"/>
      <c r="K151" s="173"/>
      <c r="L151" s="173"/>
      <c r="M151" s="163"/>
      <c r="N151" s="36"/>
      <c r="O151" s="36"/>
      <c r="P151" s="36"/>
      <c r="Q151" s="173"/>
      <c r="R151" s="173"/>
    </row>
    <row r="152" spans="1:21" x14ac:dyDescent="0.2">
      <c r="A152" s="50"/>
      <c r="D152" s="33"/>
      <c r="E152" s="51"/>
      <c r="G152" s="31"/>
      <c r="I152" s="31"/>
      <c r="J152" s="168"/>
      <c r="M152" s="95"/>
      <c r="N152" s="36"/>
      <c r="O152" s="36"/>
      <c r="P152" s="51"/>
    </row>
    <row r="153" spans="1:21" x14ac:dyDescent="0.2">
      <c r="A153" s="52"/>
      <c r="D153" s="31"/>
      <c r="E153" s="53"/>
      <c r="G153" s="31"/>
      <c r="I153" s="31"/>
      <c r="J153" s="31"/>
      <c r="M153" s="31"/>
      <c r="P153" s="53"/>
    </row>
    <row r="154" spans="1:21" x14ac:dyDescent="0.2">
      <c r="A154" s="322" t="s">
        <v>299</v>
      </c>
      <c r="B154" s="322"/>
      <c r="C154" s="322"/>
      <c r="D154" s="55"/>
      <c r="E154" s="56"/>
      <c r="G154" s="31"/>
      <c r="I154" s="31"/>
      <c r="J154" s="322" t="s">
        <v>291</v>
      </c>
      <c r="K154" s="322"/>
      <c r="L154" s="322"/>
      <c r="M154" s="57"/>
      <c r="N154" s="59"/>
      <c r="O154" s="59"/>
      <c r="P154" s="312" t="s">
        <v>137</v>
      </c>
      <c r="Q154" s="312"/>
      <c r="R154" s="312"/>
    </row>
    <row r="155" spans="1:21" x14ac:dyDescent="0.2">
      <c r="A155" s="321" t="s">
        <v>300</v>
      </c>
      <c r="B155" s="321"/>
      <c r="C155" s="321"/>
      <c r="D155" s="31"/>
      <c r="E155" s="32"/>
      <c r="G155" s="31"/>
      <c r="I155" s="31"/>
      <c r="J155" s="321" t="s">
        <v>269</v>
      </c>
      <c r="K155" s="321"/>
      <c r="L155" s="321"/>
      <c r="M155" s="33"/>
      <c r="N155" s="35"/>
      <c r="O155" s="35"/>
      <c r="P155" s="313" t="s">
        <v>139</v>
      </c>
      <c r="Q155" s="313"/>
      <c r="R155" s="313"/>
    </row>
  </sheetData>
  <customSheetViews>
    <customSheetView guid="{1998FCB8-1FEB-4076-ACE6-A225EE4366B3}" showPageBreaks="1" printArea="1" hiddenRows="1" view="pageBreakPreview">
      <pane xSplit="1" ySplit="14" topLeftCell="B113" activePane="bottomRight" state="frozen"/>
      <selection pane="bottomRight" activeCell="A124" sqref="A124:XFD124"/>
      <pageMargins left="0.75" right="0.5" top="0.8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9" activePane="bottomRight" state="frozen"/>
      <selection pane="bottomRight" activeCell="C18" sqref="C18"/>
      <pageMargins left="0.75" right="0.5" top="0.8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13" activePane="bottomRight" state="frozen"/>
      <selection pane="bottomRight" activeCell="N141" sqref="N141"/>
      <pageMargins left="0.75" right="0.5" top="0.8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11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0" activePane="bottomRight" state="frozen"/>
      <selection pane="bottomRight" activeCell="R141" sqref="R141"/>
      <pageMargins left="0.75" right="0.5" top="0.8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0:R150"/>
    <mergeCell ref="P154:R154"/>
    <mergeCell ref="P155:R155"/>
    <mergeCell ref="A150:C150"/>
    <mergeCell ref="A154:C154"/>
    <mergeCell ref="A155:C155"/>
    <mergeCell ref="J150:L150"/>
    <mergeCell ref="J154:L154"/>
    <mergeCell ref="J155:L155"/>
    <mergeCell ref="A13:C13"/>
    <mergeCell ref="E13:H13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125" activePane="bottomRight" state="frozen"/>
      <selection pane="topRight" activeCell="B1" sqref="B1"/>
      <selection pane="bottomLeft" activeCell="A15" sqref="A15"/>
      <selection pane="bottomRight" activeCell="D148" sqref="D14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9.6640625" style="1" bestFit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204</v>
      </c>
      <c r="H4" s="3"/>
      <c r="I4" s="3"/>
      <c r="R4" s="77">
        <v>1071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328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91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90"/>
      <c r="B12" s="90"/>
      <c r="C12" s="90"/>
      <c r="D12" s="9"/>
      <c r="E12" s="90"/>
      <c r="F12" s="90"/>
      <c r="G12" s="90"/>
      <c r="H12" s="90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88">
        <v>7100889.1299999999</v>
      </c>
      <c r="K16" s="88"/>
      <c r="L16" s="49">
        <v>3564173.5</v>
      </c>
      <c r="M16" s="49"/>
      <c r="N16" s="49">
        <f>P16-L16</f>
        <v>5429596.8800000008</v>
      </c>
      <c r="O16" s="49"/>
      <c r="P16" s="49">
        <v>8993770.3800000008</v>
      </c>
      <c r="Q16" s="49"/>
      <c r="R16" s="49">
        <v>9343010.6199999992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49"/>
      <c r="K17" s="49"/>
      <c r="L17" s="49"/>
      <c r="M17" s="49"/>
      <c r="N17" s="49"/>
      <c r="O17" s="49"/>
      <c r="P17" s="49"/>
      <c r="Q17" s="49"/>
      <c r="R17" s="49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88">
        <v>412285.72</v>
      </c>
      <c r="K18" s="88"/>
      <c r="L18" s="49">
        <v>216000</v>
      </c>
      <c r="M18" s="49"/>
      <c r="N18" s="49">
        <f t="shared" ref="N18:N40" si="0">P18-L18</f>
        <v>312000</v>
      </c>
      <c r="O18" s="49"/>
      <c r="P18" s="49">
        <v>528000</v>
      </c>
      <c r="Q18" s="49"/>
      <c r="R18" s="49">
        <v>528000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88">
        <v>114000</v>
      </c>
      <c r="K19" s="88"/>
      <c r="L19" s="49">
        <v>56000</v>
      </c>
      <c r="M19" s="49"/>
      <c r="N19" s="49">
        <f t="shared" si="0"/>
        <v>136000</v>
      </c>
      <c r="O19" s="49"/>
      <c r="P19" s="49">
        <v>192000</v>
      </c>
      <c r="Q19" s="49"/>
      <c r="R19" s="49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88">
        <v>102000</v>
      </c>
      <c r="K20" s="88"/>
      <c r="L20" s="49">
        <v>51000</v>
      </c>
      <c r="M20" s="49"/>
      <c r="N20" s="49">
        <f t="shared" si="0"/>
        <v>141000</v>
      </c>
      <c r="O20" s="49"/>
      <c r="P20" s="49">
        <v>192000</v>
      </c>
      <c r="Q20" s="49"/>
      <c r="R20" s="49">
        <v>192000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88">
        <v>102000</v>
      </c>
      <c r="K21" s="88"/>
      <c r="L21" s="49">
        <v>108000</v>
      </c>
      <c r="M21" s="49"/>
      <c r="N21" s="49">
        <f t="shared" si="0"/>
        <v>24000</v>
      </c>
      <c r="O21" s="49"/>
      <c r="P21" s="49">
        <v>132000</v>
      </c>
      <c r="Q21" s="49"/>
      <c r="R21" s="49">
        <v>132000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88"/>
      <c r="K22" s="88"/>
      <c r="L22" s="49"/>
      <c r="M22" s="49"/>
      <c r="N22" s="49">
        <f t="shared" si="0"/>
        <v>0</v>
      </c>
      <c r="O22" s="49"/>
      <c r="P22" s="49"/>
      <c r="Q22" s="49"/>
      <c r="R22" s="49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88"/>
      <c r="K23" s="88"/>
      <c r="L23" s="49"/>
      <c r="M23" s="49"/>
      <c r="N23" s="49">
        <f t="shared" si="0"/>
        <v>0</v>
      </c>
      <c r="O23" s="49"/>
      <c r="P23" s="49"/>
      <c r="Q23" s="49"/>
      <c r="R23" s="49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88"/>
      <c r="K24" s="88"/>
      <c r="L24" s="49"/>
      <c r="M24" s="49"/>
      <c r="N24" s="49">
        <f t="shared" si="0"/>
        <v>0</v>
      </c>
      <c r="O24" s="49"/>
      <c r="P24" s="49"/>
      <c r="Q24" s="49"/>
      <c r="R24" s="49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88"/>
      <c r="K25" s="88"/>
      <c r="L25" s="49"/>
      <c r="M25" s="49"/>
      <c r="N25" s="49">
        <f t="shared" si="0"/>
        <v>0</v>
      </c>
      <c r="O25" s="49"/>
      <c r="P25" s="49"/>
      <c r="Q25" s="49"/>
      <c r="R25" s="49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88"/>
      <c r="K26" s="88"/>
      <c r="L26" s="49"/>
      <c r="M26" s="49"/>
      <c r="N26" s="49">
        <f t="shared" si="0"/>
        <v>0</v>
      </c>
      <c r="O26" s="49"/>
      <c r="P26" s="49"/>
      <c r="Q26" s="49"/>
      <c r="R26" s="49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88"/>
      <c r="K27" s="88"/>
      <c r="L27" s="49">
        <v>105500</v>
      </c>
      <c r="M27" s="49"/>
      <c r="N27" s="49">
        <f t="shared" si="0"/>
        <v>29500</v>
      </c>
      <c r="O27" s="49"/>
      <c r="P27" s="49">
        <v>135000</v>
      </c>
      <c r="Q27" s="49"/>
      <c r="R27" s="49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49"/>
      <c r="K28" s="49"/>
      <c r="L28" s="49"/>
      <c r="M28" s="49"/>
      <c r="N28" s="49">
        <f t="shared" si="0"/>
        <v>0</v>
      </c>
      <c r="O28" s="49"/>
      <c r="P28" s="49"/>
      <c r="Q28" s="49"/>
      <c r="R28" s="49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49"/>
      <c r="K29" s="49"/>
      <c r="L29" s="49"/>
      <c r="M29" s="49"/>
      <c r="N29" s="49">
        <f t="shared" si="0"/>
        <v>0</v>
      </c>
      <c r="O29" s="49"/>
      <c r="P29" s="49"/>
      <c r="Q29" s="49"/>
      <c r="R29" s="49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49">
        <v>599021.30000000005</v>
      </c>
      <c r="K30" s="49"/>
      <c r="L30" s="49"/>
      <c r="M30" s="49"/>
      <c r="N30" s="49">
        <f t="shared" si="0"/>
        <v>751667</v>
      </c>
      <c r="O30" s="49"/>
      <c r="P30" s="49">
        <v>751667</v>
      </c>
      <c r="Q30" s="49"/>
      <c r="R30" s="49">
        <v>779600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49">
        <v>88500</v>
      </c>
      <c r="K31" s="49"/>
      <c r="L31" s="49"/>
      <c r="M31" s="49"/>
      <c r="N31" s="49">
        <f t="shared" si="0"/>
        <v>110000</v>
      </c>
      <c r="O31" s="49"/>
      <c r="P31" s="49">
        <v>110000</v>
      </c>
      <c r="Q31" s="49"/>
      <c r="R31" s="49">
        <v>110000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88">
        <v>591145</v>
      </c>
      <c r="K32" s="88"/>
      <c r="L32" s="49">
        <v>597232</v>
      </c>
      <c r="M32" s="49"/>
      <c r="N32" s="49">
        <f t="shared" si="0"/>
        <v>154435</v>
      </c>
      <c r="O32" s="49"/>
      <c r="P32" s="49">
        <v>751667</v>
      </c>
      <c r="Q32" s="49"/>
      <c r="R32" s="49">
        <v>779600</v>
      </c>
    </row>
    <row r="33" spans="1:18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49">
        <v>852360.67</v>
      </c>
      <c r="K33" s="49"/>
      <c r="L33" s="49">
        <v>427700.82</v>
      </c>
      <c r="M33" s="49"/>
      <c r="N33" s="49">
        <f t="shared" si="0"/>
        <v>654699.65999999992</v>
      </c>
      <c r="O33" s="49"/>
      <c r="P33" s="49">
        <v>1082400.48</v>
      </c>
      <c r="Q33" s="49"/>
      <c r="R33" s="49">
        <v>1122624</v>
      </c>
    </row>
    <row r="34" spans="1:18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49">
        <v>20600</v>
      </c>
      <c r="K34" s="49"/>
      <c r="L34" s="49">
        <v>10800</v>
      </c>
      <c r="M34" s="49"/>
      <c r="N34" s="49">
        <f t="shared" si="0"/>
        <v>15600</v>
      </c>
      <c r="O34" s="49"/>
      <c r="P34" s="49">
        <v>26400</v>
      </c>
      <c r="Q34" s="49"/>
      <c r="R34" s="49">
        <v>26400</v>
      </c>
    </row>
    <row r="35" spans="1:18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49">
        <v>73739.11</v>
      </c>
      <c r="K35" s="49"/>
      <c r="L35" s="49">
        <v>47939.41</v>
      </c>
      <c r="M35" s="49"/>
      <c r="N35" s="49">
        <f t="shared" si="0"/>
        <v>69407.45</v>
      </c>
      <c r="O35" s="49"/>
      <c r="P35" s="49">
        <v>117346.86</v>
      </c>
      <c r="Q35" s="49"/>
      <c r="R35" s="49">
        <v>150567.06</v>
      </c>
    </row>
    <row r="36" spans="1:18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49">
        <v>20600</v>
      </c>
      <c r="K36" s="49"/>
      <c r="L36" s="49">
        <v>10800</v>
      </c>
      <c r="M36" s="49"/>
      <c r="N36" s="49">
        <f t="shared" si="0"/>
        <v>15600</v>
      </c>
      <c r="O36" s="49"/>
      <c r="P36" s="49">
        <v>26400</v>
      </c>
      <c r="Q36" s="49"/>
      <c r="R36" s="49">
        <v>26400</v>
      </c>
    </row>
    <row r="37" spans="1:18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49"/>
      <c r="K37" s="49"/>
      <c r="L37" s="49"/>
      <c r="M37" s="49"/>
      <c r="N37" s="49">
        <f t="shared" si="0"/>
        <v>0</v>
      </c>
      <c r="O37" s="49"/>
      <c r="P37" s="49"/>
      <c r="Q37" s="49"/>
      <c r="R37" s="49"/>
    </row>
    <row r="38" spans="1:18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49"/>
      <c r="K38" s="49"/>
      <c r="L38" s="49"/>
      <c r="M38" s="49"/>
      <c r="N38" s="49">
        <f t="shared" si="0"/>
        <v>0</v>
      </c>
      <c r="O38" s="49"/>
      <c r="P38" s="49"/>
      <c r="Q38" s="49"/>
      <c r="R38" s="49"/>
    </row>
    <row r="39" spans="1:18" s="7" customFormat="1" ht="12.7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49">
        <v>34822.15</v>
      </c>
      <c r="K39" s="49"/>
      <c r="L39" s="49"/>
      <c r="M39" s="49"/>
      <c r="N39" s="49">
        <f t="shared" si="0"/>
        <v>0</v>
      </c>
      <c r="O39" s="49"/>
      <c r="P39" s="49"/>
      <c r="Q39" s="49"/>
      <c r="R39" s="49"/>
    </row>
    <row r="40" spans="1:18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49">
        <v>85000</v>
      </c>
      <c r="K40" s="49"/>
      <c r="L40" s="49"/>
      <c r="M40" s="49"/>
      <c r="N40" s="49">
        <f t="shared" si="0"/>
        <v>130000</v>
      </c>
      <c r="O40" s="49"/>
      <c r="P40" s="49">
        <v>130000</v>
      </c>
      <c r="Q40" s="49"/>
      <c r="R40" s="49">
        <v>110000</v>
      </c>
    </row>
    <row r="41" spans="1:18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s="7" customFormat="1" ht="18" customHeight="1" x14ac:dyDescent="0.2">
      <c r="A42" s="102" t="s">
        <v>36</v>
      </c>
      <c r="B42" s="26"/>
      <c r="C42" s="26"/>
      <c r="J42" s="161">
        <f>SUM(J16:J41)</f>
        <v>10196963.08</v>
      </c>
      <c r="K42" s="162"/>
      <c r="L42" s="161">
        <f>SUM(L16:L41)</f>
        <v>5195145.7300000004</v>
      </c>
      <c r="M42" s="36"/>
      <c r="N42" s="161">
        <f>SUM(N16:N41)</f>
        <v>7973505.9900000012</v>
      </c>
      <c r="O42" s="36"/>
      <c r="P42" s="161">
        <f>SUM(P16:P41)</f>
        <v>13168651.720000001</v>
      </c>
      <c r="Q42" s="36"/>
      <c r="R42" s="161">
        <f>SUM(R16:R41)</f>
        <v>13492201.68</v>
      </c>
    </row>
    <row r="43" spans="1:18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18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49">
        <v>2106</v>
      </c>
      <c r="K45" s="49"/>
      <c r="L45" s="49"/>
      <c r="M45" s="49"/>
      <c r="N45" s="49">
        <f t="shared" ref="N45:N108" si="1">P45-L45</f>
        <v>18200</v>
      </c>
      <c r="O45" s="49"/>
      <c r="P45" s="49">
        <v>18200</v>
      </c>
      <c r="Q45" s="49"/>
      <c r="R45" s="49">
        <v>3500</v>
      </c>
    </row>
    <row r="46" spans="1:18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49"/>
      <c r="K46" s="49"/>
      <c r="L46" s="49"/>
      <c r="M46" s="49"/>
      <c r="N46" s="49">
        <f t="shared" si="1"/>
        <v>0</v>
      </c>
      <c r="O46" s="49"/>
      <c r="P46" s="49"/>
      <c r="Q46" s="49"/>
      <c r="R46" s="49"/>
    </row>
    <row r="47" spans="1:18" s="7" customFormat="1" ht="12.75" hidden="1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49">
        <v>0</v>
      </c>
      <c r="K47" s="49"/>
      <c r="L47" s="49"/>
      <c r="M47" s="49"/>
      <c r="N47" s="49">
        <f t="shared" si="1"/>
        <v>0</v>
      </c>
      <c r="O47" s="49"/>
      <c r="P47" s="49"/>
      <c r="Q47" s="49"/>
      <c r="R47" s="49"/>
    </row>
    <row r="48" spans="1:18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49"/>
      <c r="K48" s="49"/>
      <c r="L48" s="49"/>
      <c r="M48" s="49"/>
      <c r="N48" s="49">
        <f t="shared" si="1"/>
        <v>0</v>
      </c>
      <c r="O48" s="49"/>
      <c r="P48" s="49"/>
      <c r="Q48" s="49"/>
      <c r="R48" s="49"/>
    </row>
    <row r="49" spans="1:18" s="7" customFormat="1" ht="12.75" customHeight="1" x14ac:dyDescent="0.2">
      <c r="A49" s="86" t="s">
        <v>40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8</v>
      </c>
      <c r="J49" s="49">
        <v>75400</v>
      </c>
      <c r="K49" s="49"/>
      <c r="L49" s="49"/>
      <c r="M49" s="49"/>
      <c r="N49" s="49">
        <f t="shared" si="1"/>
        <v>93500</v>
      </c>
      <c r="O49" s="49"/>
      <c r="P49" s="49">
        <v>93500</v>
      </c>
      <c r="Q49" s="49"/>
      <c r="R49" s="49">
        <v>93500</v>
      </c>
    </row>
    <row r="50" spans="1:18" s="7" customFormat="1" ht="12.75" hidden="1" customHeight="1" x14ac:dyDescent="0.2">
      <c r="A50" s="86" t="s">
        <v>41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10</v>
      </c>
      <c r="J50" s="49"/>
      <c r="K50" s="49"/>
      <c r="L50" s="49"/>
      <c r="M50" s="49"/>
      <c r="N50" s="49">
        <f t="shared" si="1"/>
        <v>0</v>
      </c>
      <c r="O50" s="49"/>
      <c r="P50" s="49"/>
      <c r="Q50" s="49"/>
      <c r="R50" s="49"/>
    </row>
    <row r="51" spans="1:18" s="7" customFormat="1" ht="12.75" hidden="1" customHeight="1" x14ac:dyDescent="0.2">
      <c r="A51" s="86" t="s">
        <v>42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17</v>
      </c>
      <c r="J51" s="49"/>
      <c r="K51" s="49"/>
      <c r="L51" s="49"/>
      <c r="M51" s="49"/>
      <c r="N51" s="49">
        <f t="shared" si="1"/>
        <v>0</v>
      </c>
      <c r="O51" s="49"/>
      <c r="P51" s="49"/>
      <c r="Q51" s="49"/>
      <c r="R51" s="49"/>
    </row>
    <row r="52" spans="1:18" s="7" customFormat="1" ht="12.75" hidden="1" customHeight="1" x14ac:dyDescent="0.2">
      <c r="A52" s="86" t="s">
        <v>43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64</v>
      </c>
      <c r="J52" s="49"/>
      <c r="K52" s="49"/>
      <c r="L52" s="49"/>
      <c r="M52" s="49"/>
      <c r="N52" s="49">
        <f t="shared" si="1"/>
        <v>0</v>
      </c>
      <c r="O52" s="49"/>
      <c r="P52" s="49"/>
      <c r="Q52" s="49"/>
      <c r="R52" s="49"/>
    </row>
    <row r="53" spans="1:18" s="7" customFormat="1" ht="12.75" hidden="1" customHeight="1" x14ac:dyDescent="0.2">
      <c r="A53" s="86" t="s">
        <v>88</v>
      </c>
      <c r="B53" s="111"/>
      <c r="C53" s="111"/>
      <c r="E53" s="112">
        <v>5</v>
      </c>
      <c r="F53" s="113" t="s">
        <v>12</v>
      </c>
      <c r="G53" s="112" t="s">
        <v>29</v>
      </c>
      <c r="H53" s="112" t="s">
        <v>60</v>
      </c>
      <c r="J53" s="49"/>
      <c r="K53" s="49"/>
      <c r="L53" s="49"/>
      <c r="M53" s="49"/>
      <c r="N53" s="49">
        <f t="shared" si="1"/>
        <v>0</v>
      </c>
      <c r="O53" s="49"/>
      <c r="P53" s="49"/>
      <c r="Q53" s="49"/>
      <c r="R53" s="49"/>
    </row>
    <row r="54" spans="1:18" s="7" customFormat="1" ht="12.75" hidden="1" customHeight="1" x14ac:dyDescent="0.2">
      <c r="A54" s="86" t="s">
        <v>150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19</v>
      </c>
      <c r="J54" s="49"/>
      <c r="K54" s="49"/>
      <c r="L54" s="49"/>
      <c r="M54" s="49"/>
      <c r="N54" s="49">
        <f t="shared" si="1"/>
        <v>0</v>
      </c>
      <c r="O54" s="49"/>
      <c r="P54" s="49"/>
      <c r="Q54" s="49"/>
      <c r="R54" s="49"/>
    </row>
    <row r="55" spans="1:18" s="7" customFormat="1" ht="12.75" hidden="1" customHeight="1" x14ac:dyDescent="0.2">
      <c r="A55" s="86" t="s">
        <v>151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82</v>
      </c>
      <c r="J55" s="49"/>
      <c r="K55" s="49"/>
      <c r="L55" s="49"/>
      <c r="M55" s="49"/>
      <c r="N55" s="49">
        <f t="shared" si="1"/>
        <v>0</v>
      </c>
      <c r="O55" s="49"/>
      <c r="P55" s="49"/>
      <c r="Q55" s="49"/>
      <c r="R55" s="49"/>
    </row>
    <row r="56" spans="1:18" s="7" customFormat="1" ht="12.75" customHeight="1" x14ac:dyDescent="0.2">
      <c r="A56" s="86" t="s">
        <v>44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45</v>
      </c>
      <c r="J56" s="49">
        <v>0</v>
      </c>
      <c r="K56" s="49"/>
      <c r="L56" s="49"/>
      <c r="M56" s="49"/>
      <c r="N56" s="49">
        <f t="shared" si="1"/>
        <v>144000</v>
      </c>
      <c r="O56" s="49"/>
      <c r="P56" s="49">
        <v>144000</v>
      </c>
      <c r="Q56" s="49"/>
      <c r="R56" s="49">
        <v>144000</v>
      </c>
    </row>
    <row r="57" spans="1:18" s="7" customFormat="1" ht="12.75" hidden="1" customHeight="1" x14ac:dyDescent="0.2">
      <c r="A57" s="86" t="s">
        <v>152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102</v>
      </c>
      <c r="J57" s="49"/>
      <c r="K57" s="49"/>
      <c r="L57" s="49"/>
      <c r="M57" s="49"/>
      <c r="N57" s="49">
        <f t="shared" si="1"/>
        <v>0</v>
      </c>
      <c r="O57" s="49"/>
      <c r="P57" s="49"/>
      <c r="Q57" s="49"/>
      <c r="R57" s="49"/>
    </row>
    <row r="58" spans="1:18" s="7" customFormat="1" ht="12.75" hidden="1" customHeight="1" x14ac:dyDescent="0.2">
      <c r="A58" s="86" t="s">
        <v>153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146</v>
      </c>
      <c r="J58" s="49"/>
      <c r="K58" s="49"/>
      <c r="L58" s="49"/>
      <c r="M58" s="49"/>
      <c r="N58" s="49">
        <f t="shared" si="1"/>
        <v>0</v>
      </c>
      <c r="O58" s="49"/>
      <c r="P58" s="49"/>
      <c r="Q58" s="49"/>
      <c r="R58" s="49"/>
    </row>
    <row r="59" spans="1:18" s="7" customFormat="1" ht="12.75" hidden="1" customHeight="1" x14ac:dyDescent="0.2">
      <c r="A59" s="86" t="s">
        <v>46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47</v>
      </c>
      <c r="J59" s="49"/>
      <c r="K59" s="49"/>
      <c r="L59" s="49"/>
      <c r="M59" s="49"/>
      <c r="N59" s="49">
        <f t="shared" si="1"/>
        <v>0</v>
      </c>
      <c r="O59" s="49"/>
      <c r="P59" s="49"/>
      <c r="Q59" s="49"/>
      <c r="R59" s="49"/>
    </row>
    <row r="60" spans="1:18" s="7" customFormat="1" ht="12.75" hidden="1" customHeight="1" x14ac:dyDescent="0.2">
      <c r="A60" s="86" t="s">
        <v>154</v>
      </c>
      <c r="B60" s="111"/>
      <c r="C60" s="111"/>
      <c r="E60" s="112">
        <v>5</v>
      </c>
      <c r="F60" s="113" t="s">
        <v>12</v>
      </c>
      <c r="G60" s="112" t="s">
        <v>29</v>
      </c>
      <c r="H60" s="112" t="s">
        <v>15</v>
      </c>
      <c r="J60" s="49"/>
      <c r="K60" s="49"/>
      <c r="L60" s="49"/>
      <c r="M60" s="49"/>
      <c r="N60" s="49">
        <f t="shared" si="1"/>
        <v>0</v>
      </c>
      <c r="O60" s="49"/>
      <c r="P60" s="49"/>
      <c r="Q60" s="49"/>
      <c r="R60" s="49"/>
    </row>
    <row r="61" spans="1:18" s="7" customFormat="1" ht="12.75" hidden="1" customHeight="1" x14ac:dyDescent="0.2">
      <c r="A61" s="86" t="s">
        <v>51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24</v>
      </c>
      <c r="J61" s="49"/>
      <c r="K61" s="49"/>
      <c r="L61" s="49"/>
      <c r="M61" s="49"/>
      <c r="N61" s="49">
        <f t="shared" si="1"/>
        <v>0</v>
      </c>
      <c r="O61" s="49"/>
      <c r="P61" s="49"/>
      <c r="Q61" s="49"/>
      <c r="R61" s="49"/>
    </row>
    <row r="62" spans="1:18" s="7" customFormat="1" ht="12.75" customHeight="1" x14ac:dyDescent="0.2">
      <c r="A62" s="86" t="s">
        <v>48</v>
      </c>
      <c r="B62" s="111"/>
      <c r="C62" s="111"/>
      <c r="E62" s="112">
        <v>5</v>
      </c>
      <c r="F62" s="113" t="s">
        <v>12</v>
      </c>
      <c r="G62" s="112" t="s">
        <v>29</v>
      </c>
      <c r="H62" s="114" t="s">
        <v>49</v>
      </c>
      <c r="J62" s="49">
        <v>0</v>
      </c>
      <c r="K62" s="49"/>
      <c r="L62" s="49"/>
      <c r="M62" s="49"/>
      <c r="N62" s="49">
        <f t="shared" si="1"/>
        <v>7700</v>
      </c>
      <c r="O62" s="49"/>
      <c r="P62" s="49">
        <v>7700</v>
      </c>
      <c r="Q62" s="49"/>
      <c r="R62" s="49">
        <v>7700</v>
      </c>
    </row>
    <row r="63" spans="1:18" s="7" customFormat="1" ht="12.75" hidden="1" customHeight="1" x14ac:dyDescent="0.2">
      <c r="A63" s="86" t="s">
        <v>50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8</v>
      </c>
      <c r="J63" s="49"/>
      <c r="K63" s="49"/>
      <c r="L63" s="49"/>
      <c r="M63" s="49"/>
      <c r="N63" s="49">
        <f t="shared" si="1"/>
        <v>0</v>
      </c>
      <c r="O63" s="49"/>
      <c r="P63" s="49"/>
      <c r="Q63" s="49"/>
      <c r="R63" s="49"/>
    </row>
    <row r="64" spans="1:18" s="7" customFormat="1" ht="12.75" hidden="1" customHeight="1" x14ac:dyDescent="0.2">
      <c r="A64" s="86" t="s">
        <v>52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10</v>
      </c>
      <c r="J64" s="49"/>
      <c r="K64" s="49"/>
      <c r="L64" s="49"/>
      <c r="M64" s="49"/>
      <c r="N64" s="49">
        <f t="shared" si="1"/>
        <v>0</v>
      </c>
      <c r="O64" s="49"/>
      <c r="P64" s="49"/>
      <c r="Q64" s="49"/>
      <c r="R64" s="49"/>
    </row>
    <row r="65" spans="1:18" s="7" customFormat="1" ht="12.75" hidden="1" customHeight="1" x14ac:dyDescent="0.2">
      <c r="A65" s="86" t="s">
        <v>48</v>
      </c>
      <c r="B65" s="111"/>
      <c r="C65" s="111"/>
      <c r="D65" s="112"/>
      <c r="E65" s="112">
        <v>5</v>
      </c>
      <c r="F65" s="113" t="s">
        <v>12</v>
      </c>
      <c r="G65" s="112" t="s">
        <v>29</v>
      </c>
      <c r="H65" s="114" t="s">
        <v>49</v>
      </c>
      <c r="J65" s="49"/>
      <c r="K65" s="49"/>
      <c r="L65" s="49"/>
      <c r="M65" s="49"/>
      <c r="N65" s="49">
        <f t="shared" si="1"/>
        <v>0</v>
      </c>
      <c r="O65" s="49"/>
      <c r="P65" s="49"/>
      <c r="Q65" s="49"/>
      <c r="R65" s="49"/>
    </row>
    <row r="66" spans="1:18" s="7" customFormat="1" ht="12.75" customHeight="1" x14ac:dyDescent="0.2">
      <c r="A66" s="86" t="s">
        <v>53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8</v>
      </c>
      <c r="J66" s="49">
        <v>0</v>
      </c>
      <c r="K66" s="49"/>
      <c r="L66" s="49"/>
      <c r="M66" s="49"/>
      <c r="N66" s="49">
        <f t="shared" si="1"/>
        <v>2000</v>
      </c>
      <c r="O66" s="49"/>
      <c r="P66" s="49">
        <v>2000</v>
      </c>
      <c r="Q66" s="49"/>
      <c r="R66" s="49">
        <v>2000</v>
      </c>
    </row>
    <row r="67" spans="1:18" s="7" customFormat="1" ht="12.75" hidden="1" customHeight="1" x14ac:dyDescent="0.2">
      <c r="A67" s="86" t="s">
        <v>55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10</v>
      </c>
      <c r="J67" s="49"/>
      <c r="K67" s="49"/>
      <c r="L67" s="49"/>
      <c r="M67" s="49"/>
      <c r="N67" s="49">
        <f t="shared" si="1"/>
        <v>0</v>
      </c>
      <c r="O67" s="49"/>
      <c r="P67" s="49"/>
      <c r="Q67" s="49"/>
      <c r="R67" s="49"/>
    </row>
    <row r="68" spans="1:18" s="7" customFormat="1" ht="12.75" hidden="1" customHeight="1" x14ac:dyDescent="0.2">
      <c r="A68" s="86" t="s">
        <v>56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15</v>
      </c>
      <c r="J68" s="49"/>
      <c r="K68" s="49"/>
      <c r="L68" s="49"/>
      <c r="M68" s="49"/>
      <c r="N68" s="49">
        <f t="shared" si="1"/>
        <v>0</v>
      </c>
      <c r="O68" s="49"/>
      <c r="P68" s="49"/>
      <c r="Q68" s="49"/>
      <c r="R68" s="49"/>
    </row>
    <row r="69" spans="1:18" s="7" customFormat="1" ht="12.75" hidden="1" customHeight="1" x14ac:dyDescent="0.2">
      <c r="A69" s="86" t="s">
        <v>57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17</v>
      </c>
      <c r="J69" s="49"/>
      <c r="K69" s="49"/>
      <c r="L69" s="49"/>
      <c r="M69" s="49"/>
      <c r="N69" s="49">
        <f t="shared" si="1"/>
        <v>0</v>
      </c>
      <c r="O69" s="49"/>
      <c r="P69" s="49"/>
      <c r="Q69" s="49"/>
      <c r="R69" s="49"/>
    </row>
    <row r="70" spans="1:18" s="7" customFormat="1" ht="12.75" hidden="1" customHeight="1" x14ac:dyDescent="0.2">
      <c r="A70" s="86" t="s">
        <v>58</v>
      </c>
      <c r="B70" s="111"/>
      <c r="C70" s="111"/>
      <c r="E70" s="112">
        <v>5</v>
      </c>
      <c r="F70" s="112" t="s">
        <v>12</v>
      </c>
      <c r="G70" s="112" t="s">
        <v>59</v>
      </c>
      <c r="H70" s="112" t="s">
        <v>60</v>
      </c>
      <c r="J70" s="49"/>
      <c r="K70" s="49"/>
      <c r="L70" s="49"/>
      <c r="M70" s="49"/>
      <c r="N70" s="49">
        <f t="shared" si="1"/>
        <v>0</v>
      </c>
      <c r="O70" s="49"/>
      <c r="P70" s="49"/>
      <c r="Q70" s="49"/>
      <c r="R70" s="49"/>
    </row>
    <row r="71" spans="1:18" s="7" customFormat="1" ht="12.75" hidden="1" customHeight="1" x14ac:dyDescent="0.2">
      <c r="A71" s="86" t="s">
        <v>66</v>
      </c>
      <c r="B71" s="111"/>
      <c r="C71" s="111"/>
      <c r="E71" s="112">
        <v>5</v>
      </c>
      <c r="F71" s="113" t="s">
        <v>12</v>
      </c>
      <c r="G71" s="112" t="s">
        <v>67</v>
      </c>
      <c r="H71" s="112" t="s">
        <v>8</v>
      </c>
      <c r="J71" s="49"/>
      <c r="K71" s="49"/>
      <c r="L71" s="49"/>
      <c r="M71" s="49"/>
      <c r="N71" s="49">
        <f t="shared" si="1"/>
        <v>0</v>
      </c>
      <c r="O71" s="49"/>
      <c r="P71" s="49"/>
      <c r="Q71" s="49"/>
      <c r="R71" s="49"/>
    </row>
    <row r="72" spans="1:18" s="7" customFormat="1" ht="12.75" hidden="1" customHeight="1" x14ac:dyDescent="0.2">
      <c r="A72" s="86" t="s">
        <v>61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8</v>
      </c>
      <c r="J72" s="49"/>
      <c r="K72" s="49"/>
      <c r="L72" s="49"/>
      <c r="M72" s="49"/>
      <c r="N72" s="49">
        <f t="shared" si="1"/>
        <v>0</v>
      </c>
      <c r="O72" s="49"/>
      <c r="P72" s="49"/>
      <c r="Q72" s="49"/>
      <c r="R72" s="49"/>
    </row>
    <row r="73" spans="1:18" s="7" customFormat="1" ht="12.75" hidden="1" customHeight="1" x14ac:dyDescent="0.2">
      <c r="A73" s="86" t="s">
        <v>63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64</v>
      </c>
      <c r="J73" s="49"/>
      <c r="K73" s="49"/>
      <c r="L73" s="49"/>
      <c r="M73" s="49"/>
      <c r="N73" s="49">
        <f t="shared" si="1"/>
        <v>0</v>
      </c>
      <c r="O73" s="49"/>
      <c r="P73" s="49"/>
      <c r="Q73" s="49"/>
      <c r="R73" s="49"/>
    </row>
    <row r="74" spans="1:18" s="7" customFormat="1" ht="12.75" hidden="1" customHeight="1" x14ac:dyDescent="0.2">
      <c r="A74" s="86" t="s">
        <v>155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15</v>
      </c>
      <c r="J74" s="49"/>
      <c r="K74" s="49"/>
      <c r="L74" s="49"/>
      <c r="M74" s="49"/>
      <c r="N74" s="49">
        <f t="shared" si="1"/>
        <v>0</v>
      </c>
      <c r="O74" s="49"/>
      <c r="P74" s="49"/>
      <c r="Q74" s="49"/>
      <c r="R74" s="49"/>
    </row>
    <row r="75" spans="1:18" s="7" customFormat="1" ht="12.75" hidden="1" customHeight="1" x14ac:dyDescent="0.2">
      <c r="A75" s="86" t="s">
        <v>156</v>
      </c>
      <c r="B75" s="111"/>
      <c r="C75" s="111"/>
      <c r="E75" s="112">
        <v>5</v>
      </c>
      <c r="F75" s="112" t="s">
        <v>12</v>
      </c>
      <c r="G75" s="112" t="s">
        <v>59</v>
      </c>
      <c r="H75" s="112" t="s">
        <v>17</v>
      </c>
      <c r="J75" s="49"/>
      <c r="K75" s="49"/>
      <c r="L75" s="49"/>
      <c r="M75" s="49"/>
      <c r="N75" s="49">
        <f t="shared" si="1"/>
        <v>0</v>
      </c>
      <c r="O75" s="49"/>
      <c r="P75" s="49"/>
      <c r="Q75" s="49"/>
      <c r="R75" s="49"/>
    </row>
    <row r="76" spans="1:18" s="7" customFormat="1" ht="12.75" hidden="1" customHeight="1" x14ac:dyDescent="0.2">
      <c r="A76" s="86" t="s">
        <v>63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64</v>
      </c>
      <c r="J76" s="49"/>
      <c r="K76" s="49"/>
      <c r="L76" s="49"/>
      <c r="M76" s="49"/>
      <c r="N76" s="49">
        <f t="shared" si="1"/>
        <v>0</v>
      </c>
      <c r="O76" s="49"/>
      <c r="P76" s="49"/>
      <c r="Q76" s="49"/>
      <c r="R76" s="49"/>
    </row>
    <row r="77" spans="1:18" s="7" customFormat="1" ht="12.75" hidden="1" customHeight="1" x14ac:dyDescent="0.2">
      <c r="A77" s="86" t="s">
        <v>65</v>
      </c>
      <c r="B77" s="111"/>
      <c r="C77" s="111"/>
      <c r="E77" s="112">
        <v>5</v>
      </c>
      <c r="F77" s="113" t="s">
        <v>12</v>
      </c>
      <c r="G77" s="112" t="s">
        <v>59</v>
      </c>
      <c r="H77" s="112" t="s">
        <v>19</v>
      </c>
      <c r="J77" s="49"/>
      <c r="K77" s="49"/>
      <c r="L77" s="49"/>
      <c r="M77" s="49"/>
      <c r="N77" s="49">
        <f t="shared" si="1"/>
        <v>0</v>
      </c>
      <c r="O77" s="49"/>
      <c r="P77" s="49"/>
      <c r="Q77" s="49"/>
      <c r="R77" s="49"/>
    </row>
    <row r="78" spans="1:18" s="7" customFormat="1" ht="12.75" hidden="1" customHeight="1" x14ac:dyDescent="0.2">
      <c r="A78" s="86" t="s">
        <v>157</v>
      </c>
      <c r="B78" s="111"/>
      <c r="C78" s="111"/>
      <c r="E78" s="112">
        <v>5</v>
      </c>
      <c r="F78" s="113" t="s">
        <v>12</v>
      </c>
      <c r="G78" s="112" t="s">
        <v>93</v>
      </c>
      <c r="H78" s="112" t="s">
        <v>8</v>
      </c>
      <c r="J78" s="49"/>
      <c r="K78" s="49"/>
      <c r="L78" s="49"/>
      <c r="M78" s="49"/>
      <c r="N78" s="49">
        <f t="shared" si="1"/>
        <v>0</v>
      </c>
      <c r="O78" s="49"/>
      <c r="P78" s="49"/>
      <c r="Q78" s="49"/>
      <c r="R78" s="49"/>
    </row>
    <row r="79" spans="1:18" s="7" customFormat="1" ht="12.75" hidden="1" customHeight="1" x14ac:dyDescent="0.2">
      <c r="A79" s="86" t="s">
        <v>66</v>
      </c>
      <c r="B79" s="111"/>
      <c r="C79" s="111"/>
      <c r="E79" s="112">
        <v>5</v>
      </c>
      <c r="F79" s="113" t="s">
        <v>12</v>
      </c>
      <c r="G79" s="112" t="s">
        <v>67</v>
      </c>
      <c r="H79" s="112" t="s">
        <v>8</v>
      </c>
      <c r="J79" s="49"/>
      <c r="K79" s="49"/>
      <c r="L79" s="49"/>
      <c r="M79" s="49"/>
      <c r="N79" s="49">
        <f t="shared" si="1"/>
        <v>0</v>
      </c>
      <c r="O79" s="49"/>
      <c r="P79" s="49"/>
      <c r="Q79" s="49"/>
      <c r="R79" s="49"/>
    </row>
    <row r="80" spans="1:18" s="7" customFormat="1" ht="12.75" hidden="1" customHeight="1" x14ac:dyDescent="0.2">
      <c r="A80" s="86" t="s">
        <v>68</v>
      </c>
      <c r="B80" s="111"/>
      <c r="C80" s="111"/>
      <c r="E80" s="112">
        <v>5</v>
      </c>
      <c r="F80" s="113" t="s">
        <v>12</v>
      </c>
      <c r="G80" s="112" t="s">
        <v>67</v>
      </c>
      <c r="H80" s="112" t="s">
        <v>10</v>
      </c>
      <c r="J80" s="49"/>
      <c r="K80" s="49"/>
      <c r="L80" s="49"/>
      <c r="M80" s="49"/>
      <c r="N80" s="49">
        <f t="shared" si="1"/>
        <v>0</v>
      </c>
      <c r="O80" s="49"/>
      <c r="P80" s="49"/>
      <c r="Q80" s="49"/>
      <c r="R80" s="49"/>
    </row>
    <row r="81" spans="1:18" s="7" customFormat="1" ht="12.75" hidden="1" customHeight="1" x14ac:dyDescent="0.2">
      <c r="A81" s="86" t="s">
        <v>158</v>
      </c>
      <c r="B81" s="111"/>
      <c r="C81" s="111"/>
      <c r="E81" s="112">
        <v>5</v>
      </c>
      <c r="F81" s="113" t="s">
        <v>12</v>
      </c>
      <c r="G81" s="112" t="s">
        <v>70</v>
      </c>
      <c r="H81" s="112" t="s">
        <v>8</v>
      </c>
      <c r="J81" s="49"/>
      <c r="K81" s="49"/>
      <c r="L81" s="49"/>
      <c r="M81" s="49"/>
      <c r="N81" s="49">
        <f t="shared" si="1"/>
        <v>0</v>
      </c>
      <c r="O81" s="49"/>
      <c r="P81" s="49"/>
      <c r="Q81" s="49"/>
      <c r="R81" s="49"/>
    </row>
    <row r="82" spans="1:18" s="7" customFormat="1" ht="12.75" hidden="1" customHeight="1" x14ac:dyDescent="0.2">
      <c r="A82" s="86" t="s">
        <v>159</v>
      </c>
      <c r="B82" s="111"/>
      <c r="C82" s="111"/>
      <c r="E82" s="112">
        <v>5</v>
      </c>
      <c r="F82" s="113" t="s">
        <v>12</v>
      </c>
      <c r="G82" s="112" t="s">
        <v>70</v>
      </c>
      <c r="H82" s="112" t="s">
        <v>10</v>
      </c>
      <c r="J82" s="49"/>
      <c r="K82" s="49"/>
      <c r="L82" s="49"/>
      <c r="M82" s="49"/>
      <c r="N82" s="49">
        <f t="shared" si="1"/>
        <v>0</v>
      </c>
      <c r="O82" s="49"/>
      <c r="P82" s="49"/>
      <c r="Q82" s="49"/>
      <c r="R82" s="49"/>
    </row>
    <row r="83" spans="1:18" s="7" customFormat="1" ht="12.75" hidden="1" customHeight="1" x14ac:dyDescent="0.2">
      <c r="A83" s="86" t="s">
        <v>69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15</v>
      </c>
      <c r="J83" s="49"/>
      <c r="K83" s="49"/>
      <c r="L83" s="49"/>
      <c r="M83" s="49"/>
      <c r="N83" s="49">
        <f t="shared" si="1"/>
        <v>0</v>
      </c>
      <c r="O83" s="49"/>
      <c r="P83" s="49"/>
      <c r="Q83" s="49"/>
      <c r="R83" s="49"/>
    </row>
    <row r="84" spans="1:18" s="7" customFormat="1" ht="12.75" hidden="1" customHeight="1" x14ac:dyDescent="0.2">
      <c r="A84" s="86" t="s">
        <v>160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8</v>
      </c>
      <c r="J84" s="49"/>
      <c r="K84" s="49"/>
      <c r="L84" s="49"/>
      <c r="M84" s="49"/>
      <c r="N84" s="49">
        <f t="shared" si="1"/>
        <v>0</v>
      </c>
      <c r="O84" s="49"/>
      <c r="P84" s="49"/>
      <c r="Q84" s="49"/>
      <c r="R84" s="49"/>
    </row>
    <row r="85" spans="1:18" s="7" customFormat="1" ht="12.75" hidden="1" customHeight="1" x14ac:dyDescent="0.2">
      <c r="A85" s="86" t="s">
        <v>161</v>
      </c>
      <c r="B85" s="111"/>
      <c r="C85" s="111"/>
      <c r="E85" s="112">
        <v>5</v>
      </c>
      <c r="F85" s="113" t="s">
        <v>12</v>
      </c>
      <c r="G85" s="112" t="s">
        <v>163</v>
      </c>
      <c r="H85" s="114" t="s">
        <v>49</v>
      </c>
      <c r="J85" s="49"/>
      <c r="K85" s="49"/>
      <c r="L85" s="49"/>
      <c r="M85" s="49"/>
      <c r="N85" s="49">
        <f t="shared" si="1"/>
        <v>0</v>
      </c>
      <c r="O85" s="49"/>
      <c r="P85" s="49"/>
      <c r="Q85" s="49"/>
      <c r="R85" s="49"/>
    </row>
    <row r="86" spans="1:18" s="7" customFormat="1" ht="12.75" hidden="1" customHeight="1" x14ac:dyDescent="0.2">
      <c r="A86" s="86" t="s">
        <v>71</v>
      </c>
      <c r="B86" s="111"/>
      <c r="C86" s="111"/>
      <c r="E86" s="112">
        <v>5</v>
      </c>
      <c r="F86" s="113" t="s">
        <v>12</v>
      </c>
      <c r="G86" s="112" t="s">
        <v>163</v>
      </c>
      <c r="H86" s="112" t="s">
        <v>10</v>
      </c>
      <c r="J86" s="49"/>
      <c r="K86" s="49"/>
      <c r="L86" s="49"/>
      <c r="M86" s="49"/>
      <c r="N86" s="49">
        <f t="shared" si="1"/>
        <v>0</v>
      </c>
      <c r="O86" s="49"/>
      <c r="P86" s="49"/>
      <c r="Q86" s="49"/>
      <c r="R86" s="49"/>
    </row>
    <row r="87" spans="1:18" s="7" customFormat="1" ht="12.75" hidden="1" customHeight="1" x14ac:dyDescent="0.2">
      <c r="A87" s="86" t="s">
        <v>162</v>
      </c>
      <c r="B87" s="111"/>
      <c r="C87" s="111"/>
      <c r="E87" s="112">
        <v>5</v>
      </c>
      <c r="F87" s="113" t="s">
        <v>12</v>
      </c>
      <c r="G87" s="112" t="s">
        <v>163</v>
      </c>
      <c r="H87" s="112" t="s">
        <v>15</v>
      </c>
      <c r="J87" s="49"/>
      <c r="K87" s="49"/>
      <c r="L87" s="49"/>
      <c r="M87" s="49"/>
      <c r="N87" s="49">
        <f t="shared" si="1"/>
        <v>0</v>
      </c>
      <c r="O87" s="49"/>
      <c r="P87" s="49"/>
      <c r="Q87" s="49"/>
      <c r="R87" s="49"/>
    </row>
    <row r="88" spans="1:18" s="7" customFormat="1" ht="12.75" hidden="1" customHeight="1" x14ac:dyDescent="0.2">
      <c r="A88" s="86" t="s">
        <v>72</v>
      </c>
      <c r="B88" s="111"/>
      <c r="C88" s="111"/>
      <c r="E88" s="112">
        <v>5</v>
      </c>
      <c r="F88" s="113" t="s">
        <v>12</v>
      </c>
      <c r="G88" s="112" t="s">
        <v>70</v>
      </c>
      <c r="H88" s="112" t="s">
        <v>49</v>
      </c>
      <c r="J88" s="49"/>
      <c r="K88" s="49"/>
      <c r="L88" s="49"/>
      <c r="M88" s="49"/>
      <c r="N88" s="49">
        <f t="shared" si="1"/>
        <v>0</v>
      </c>
      <c r="O88" s="49"/>
      <c r="P88" s="49"/>
      <c r="Q88" s="49"/>
      <c r="R88" s="49"/>
    </row>
    <row r="89" spans="1:18" s="7" customFormat="1" ht="12.75" hidden="1" customHeight="1" x14ac:dyDescent="0.2">
      <c r="A89" s="86" t="s">
        <v>164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10</v>
      </c>
      <c r="J89" s="49"/>
      <c r="K89" s="49"/>
      <c r="L89" s="49"/>
      <c r="M89" s="49"/>
      <c r="N89" s="49">
        <f t="shared" si="1"/>
        <v>0</v>
      </c>
      <c r="O89" s="49"/>
      <c r="P89" s="49"/>
      <c r="Q89" s="49"/>
      <c r="R89" s="49"/>
    </row>
    <row r="90" spans="1:18" s="7" customFormat="1" ht="12.75" hidden="1" customHeight="1" x14ac:dyDescent="0.2">
      <c r="A90" s="86" t="s">
        <v>165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15</v>
      </c>
      <c r="J90" s="49"/>
      <c r="K90" s="49"/>
      <c r="L90" s="49"/>
      <c r="M90" s="49"/>
      <c r="N90" s="49">
        <f t="shared" si="1"/>
        <v>0</v>
      </c>
      <c r="O90" s="49"/>
      <c r="P90" s="49"/>
      <c r="Q90" s="49"/>
      <c r="R90" s="49"/>
    </row>
    <row r="91" spans="1:18" s="7" customFormat="1" ht="12.75" hidden="1" customHeight="1" x14ac:dyDescent="0.2">
      <c r="A91" s="86" t="s">
        <v>166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17</v>
      </c>
      <c r="J91" s="49"/>
      <c r="K91" s="49"/>
      <c r="L91" s="49"/>
      <c r="M91" s="49"/>
      <c r="N91" s="49">
        <f t="shared" si="1"/>
        <v>0</v>
      </c>
      <c r="O91" s="49"/>
      <c r="P91" s="49"/>
      <c r="Q91" s="49"/>
      <c r="R91" s="49"/>
    </row>
    <row r="92" spans="1:18" s="7" customFormat="1" ht="12.75" hidden="1" customHeight="1" x14ac:dyDescent="0.2">
      <c r="A92" s="86" t="s">
        <v>167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8</v>
      </c>
      <c r="J92" s="49"/>
      <c r="K92" s="49"/>
      <c r="L92" s="49"/>
      <c r="M92" s="49"/>
      <c r="N92" s="49">
        <f t="shared" si="1"/>
        <v>0</v>
      </c>
      <c r="O92" s="49"/>
      <c r="P92" s="49"/>
      <c r="Q92" s="49"/>
      <c r="R92" s="49"/>
    </row>
    <row r="93" spans="1:18" s="7" customFormat="1" ht="12.75" hidden="1" customHeight="1" x14ac:dyDescent="0.2">
      <c r="A93" s="86" t="s">
        <v>168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45</v>
      </c>
      <c r="J93" s="49"/>
      <c r="K93" s="49"/>
      <c r="L93" s="49"/>
      <c r="M93" s="49"/>
      <c r="N93" s="49">
        <f t="shared" si="1"/>
        <v>0</v>
      </c>
      <c r="O93" s="49"/>
      <c r="P93" s="49"/>
      <c r="Q93" s="49"/>
      <c r="R93" s="49"/>
    </row>
    <row r="94" spans="1:18" s="7" customFormat="1" ht="12.75" hidden="1" customHeight="1" x14ac:dyDescent="0.2">
      <c r="A94" s="86" t="s">
        <v>73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64</v>
      </c>
      <c r="J94" s="49">
        <v>0</v>
      </c>
      <c r="K94" s="49"/>
      <c r="L94" s="49"/>
      <c r="M94" s="49"/>
      <c r="N94" s="49">
        <f t="shared" si="1"/>
        <v>0</v>
      </c>
      <c r="O94" s="49"/>
      <c r="P94" s="49"/>
      <c r="Q94" s="49"/>
      <c r="R94" s="49"/>
    </row>
    <row r="95" spans="1:18" s="7" customFormat="1" ht="12.75" hidden="1" customHeight="1" x14ac:dyDescent="0.2">
      <c r="A95" s="86" t="s">
        <v>75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19</v>
      </c>
      <c r="J95" s="49">
        <v>0</v>
      </c>
      <c r="K95" s="49"/>
      <c r="L95" s="49"/>
      <c r="M95" s="49"/>
      <c r="N95" s="49">
        <f t="shared" si="1"/>
        <v>0</v>
      </c>
      <c r="O95" s="49"/>
      <c r="P95" s="49"/>
      <c r="Q95" s="49"/>
      <c r="R95" s="49"/>
    </row>
    <row r="96" spans="1:18" s="7" customFormat="1" ht="12.75" hidden="1" customHeight="1" x14ac:dyDescent="0.2">
      <c r="A96" s="86" t="s">
        <v>76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60</v>
      </c>
      <c r="J96" s="49"/>
      <c r="K96" s="49"/>
      <c r="L96" s="49"/>
      <c r="M96" s="49"/>
      <c r="N96" s="49">
        <f t="shared" si="1"/>
        <v>0</v>
      </c>
      <c r="O96" s="49"/>
      <c r="P96" s="49"/>
      <c r="Q96" s="49"/>
      <c r="R96" s="49"/>
    </row>
    <row r="97" spans="1:18" s="7" customFormat="1" ht="12.75" hidden="1" customHeight="1" x14ac:dyDescent="0.2">
      <c r="A97" s="86" t="s">
        <v>77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49</v>
      </c>
      <c r="J97" s="49"/>
      <c r="K97" s="49"/>
      <c r="L97" s="49"/>
      <c r="M97" s="49"/>
      <c r="N97" s="49">
        <f t="shared" si="1"/>
        <v>0</v>
      </c>
      <c r="O97" s="49"/>
      <c r="P97" s="49"/>
      <c r="Q97" s="49"/>
      <c r="R97" s="49"/>
    </row>
    <row r="98" spans="1:18" s="7" customFormat="1" ht="12.75" hidden="1" customHeight="1" x14ac:dyDescent="0.2">
      <c r="A98" s="86" t="s">
        <v>165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15</v>
      </c>
      <c r="J98" s="49"/>
      <c r="K98" s="49"/>
      <c r="L98" s="49"/>
      <c r="M98" s="49"/>
      <c r="N98" s="49">
        <f t="shared" si="1"/>
        <v>0</v>
      </c>
      <c r="O98" s="49"/>
      <c r="P98" s="49"/>
      <c r="Q98" s="49"/>
      <c r="R98" s="49"/>
    </row>
    <row r="99" spans="1:18" s="7" customFormat="1" ht="12.75" hidden="1" customHeight="1" x14ac:dyDescent="0.2">
      <c r="A99" s="86" t="s">
        <v>78</v>
      </c>
      <c r="B99" s="111"/>
      <c r="C99" s="111"/>
      <c r="E99" s="112">
        <v>5</v>
      </c>
      <c r="F99" s="113" t="s">
        <v>12</v>
      </c>
      <c r="G99" s="112" t="s">
        <v>79</v>
      </c>
      <c r="H99" s="112" t="s">
        <v>10</v>
      </c>
      <c r="J99" s="49"/>
      <c r="K99" s="49"/>
      <c r="L99" s="49"/>
      <c r="M99" s="49"/>
      <c r="N99" s="49">
        <f t="shared" si="1"/>
        <v>0</v>
      </c>
      <c r="O99" s="49"/>
      <c r="P99" s="49"/>
      <c r="Q99" s="49"/>
      <c r="R99" s="49"/>
    </row>
    <row r="100" spans="1:18" s="7" customFormat="1" ht="12.75" hidden="1" customHeight="1" x14ac:dyDescent="0.2">
      <c r="A100" s="86" t="s">
        <v>80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15</v>
      </c>
      <c r="J100" s="49"/>
      <c r="K100" s="49"/>
      <c r="L100" s="49"/>
      <c r="M100" s="49"/>
      <c r="N100" s="49">
        <f t="shared" si="1"/>
        <v>0</v>
      </c>
      <c r="O100" s="49"/>
      <c r="P100" s="49"/>
      <c r="Q100" s="49"/>
      <c r="R100" s="49"/>
    </row>
    <row r="101" spans="1:18" s="7" customFormat="1" ht="12.75" hidden="1" customHeight="1" x14ac:dyDescent="0.2">
      <c r="A101" s="86" t="s">
        <v>169</v>
      </c>
      <c r="B101" s="111"/>
      <c r="C101" s="111"/>
      <c r="E101" s="112">
        <v>5</v>
      </c>
      <c r="F101" s="113" t="s">
        <v>12</v>
      </c>
      <c r="G101" s="112" t="s">
        <v>79</v>
      </c>
      <c r="H101" s="113" t="s">
        <v>60</v>
      </c>
      <c r="J101" s="49"/>
      <c r="K101" s="49"/>
      <c r="L101" s="49"/>
      <c r="M101" s="49"/>
      <c r="N101" s="49">
        <f t="shared" si="1"/>
        <v>0</v>
      </c>
      <c r="O101" s="49"/>
      <c r="P101" s="49"/>
      <c r="Q101" s="49"/>
      <c r="R101" s="49"/>
    </row>
    <row r="102" spans="1:18" s="7" customFormat="1" ht="12.75" hidden="1" customHeight="1" x14ac:dyDescent="0.2">
      <c r="A102" s="86" t="s">
        <v>170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19</v>
      </c>
      <c r="J102" s="49"/>
      <c r="K102" s="49"/>
      <c r="L102" s="49"/>
      <c r="M102" s="49"/>
      <c r="N102" s="49">
        <f t="shared" si="1"/>
        <v>0</v>
      </c>
      <c r="O102" s="49"/>
      <c r="P102" s="49"/>
      <c r="Q102" s="49"/>
      <c r="R102" s="49"/>
    </row>
    <row r="103" spans="1:18" s="7" customFormat="1" ht="12.75" hidden="1" customHeight="1" x14ac:dyDescent="0.2">
      <c r="A103" s="86" t="s">
        <v>171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82</v>
      </c>
      <c r="J103" s="49"/>
      <c r="K103" s="49"/>
      <c r="L103" s="49"/>
      <c r="M103" s="49"/>
      <c r="N103" s="49">
        <f t="shared" si="1"/>
        <v>0</v>
      </c>
      <c r="O103" s="49"/>
      <c r="P103" s="49"/>
      <c r="Q103" s="49"/>
      <c r="R103" s="49"/>
    </row>
    <row r="104" spans="1:18" s="7" customFormat="1" ht="12.75" hidden="1" customHeight="1" x14ac:dyDescent="0.2">
      <c r="A104" s="86" t="s">
        <v>81</v>
      </c>
      <c r="B104" s="111"/>
      <c r="C104" s="111"/>
      <c r="E104" s="112">
        <v>5</v>
      </c>
      <c r="F104" s="113" t="s">
        <v>12</v>
      </c>
      <c r="G104" s="112" t="s">
        <v>59</v>
      </c>
      <c r="H104" s="113" t="s">
        <v>82</v>
      </c>
      <c r="J104" s="49"/>
      <c r="K104" s="49"/>
      <c r="L104" s="49"/>
      <c r="M104" s="49"/>
      <c r="N104" s="49">
        <f t="shared" si="1"/>
        <v>0</v>
      </c>
      <c r="O104" s="49"/>
      <c r="P104" s="49"/>
      <c r="Q104" s="49"/>
      <c r="R104" s="49"/>
    </row>
    <row r="105" spans="1:18" s="7" customFormat="1" ht="12.75" hidden="1" customHeight="1" x14ac:dyDescent="0.2">
      <c r="A105" s="86" t="s">
        <v>83</v>
      </c>
      <c r="B105" s="111"/>
      <c r="C105" s="111"/>
      <c r="E105" s="112">
        <v>5</v>
      </c>
      <c r="F105" s="113" t="s">
        <v>12</v>
      </c>
      <c r="G105" s="112" t="s">
        <v>84</v>
      </c>
      <c r="H105" s="113" t="s">
        <v>8</v>
      </c>
      <c r="J105" s="49"/>
      <c r="K105" s="49"/>
      <c r="L105" s="49"/>
      <c r="M105" s="49"/>
      <c r="N105" s="49">
        <f t="shared" si="1"/>
        <v>0</v>
      </c>
      <c r="O105" s="49"/>
      <c r="P105" s="49"/>
      <c r="Q105" s="49"/>
      <c r="R105" s="49"/>
    </row>
    <row r="106" spans="1:18" s="7" customFormat="1" ht="12.75" hidden="1" customHeight="1" x14ac:dyDescent="0.2">
      <c r="A106" s="86" t="s">
        <v>85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10</v>
      </c>
      <c r="J106" s="49"/>
      <c r="K106" s="49"/>
      <c r="L106" s="49"/>
      <c r="M106" s="49"/>
      <c r="N106" s="49">
        <f t="shared" si="1"/>
        <v>0</v>
      </c>
      <c r="O106" s="49"/>
      <c r="P106" s="49"/>
      <c r="Q106" s="49"/>
      <c r="R106" s="49"/>
    </row>
    <row r="107" spans="1:18" s="7" customFormat="1" ht="12.75" hidden="1" customHeight="1" x14ac:dyDescent="0.2">
      <c r="A107" s="86" t="s">
        <v>86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15</v>
      </c>
      <c r="J107" s="49"/>
      <c r="K107" s="49"/>
      <c r="L107" s="49"/>
      <c r="M107" s="49"/>
      <c r="N107" s="49">
        <f t="shared" si="1"/>
        <v>0</v>
      </c>
      <c r="O107" s="49"/>
      <c r="P107" s="49"/>
      <c r="Q107" s="49"/>
      <c r="R107" s="49"/>
    </row>
    <row r="108" spans="1:18" s="7" customFormat="1" ht="12.75" hidden="1" customHeight="1" x14ac:dyDescent="0.2">
      <c r="A108" s="86" t="s">
        <v>172</v>
      </c>
      <c r="B108" s="111"/>
      <c r="C108" s="111"/>
      <c r="E108" s="112">
        <v>5</v>
      </c>
      <c r="F108" s="113" t="s">
        <v>12</v>
      </c>
      <c r="G108" s="112" t="s">
        <v>174</v>
      </c>
      <c r="H108" s="113" t="s">
        <v>8</v>
      </c>
      <c r="J108" s="49"/>
      <c r="K108" s="49"/>
      <c r="L108" s="49"/>
      <c r="M108" s="49"/>
      <c r="N108" s="49">
        <f t="shared" si="1"/>
        <v>0</v>
      </c>
      <c r="O108" s="49"/>
      <c r="P108" s="49"/>
      <c r="Q108" s="49"/>
      <c r="R108" s="49"/>
    </row>
    <row r="109" spans="1:18" s="7" customFormat="1" ht="12.75" hidden="1" customHeight="1" x14ac:dyDescent="0.2">
      <c r="A109" s="86" t="s">
        <v>173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10</v>
      </c>
      <c r="J109" s="49"/>
      <c r="K109" s="49"/>
      <c r="L109" s="49"/>
      <c r="M109" s="49"/>
      <c r="N109" s="49">
        <f t="shared" ref="N109:N112" si="2">P109-L109</f>
        <v>0</v>
      </c>
      <c r="O109" s="49"/>
      <c r="P109" s="49"/>
      <c r="Q109" s="49"/>
      <c r="R109" s="49"/>
    </row>
    <row r="110" spans="1:18" s="7" customFormat="1" ht="12.75" hidden="1" customHeight="1" x14ac:dyDescent="0.2">
      <c r="A110" s="86" t="s">
        <v>87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15</v>
      </c>
      <c r="J110" s="49"/>
      <c r="K110" s="49"/>
      <c r="L110" s="49"/>
      <c r="M110" s="49"/>
      <c r="N110" s="49">
        <f t="shared" si="2"/>
        <v>0</v>
      </c>
      <c r="O110" s="49"/>
      <c r="P110" s="49"/>
      <c r="Q110" s="49"/>
      <c r="R110" s="49"/>
    </row>
    <row r="111" spans="1:18" s="7" customFormat="1" ht="12.75" customHeight="1" x14ac:dyDescent="0.2">
      <c r="A111" s="86" t="s">
        <v>62</v>
      </c>
      <c r="B111" s="111"/>
      <c r="C111" s="111"/>
      <c r="E111" s="112">
        <v>5</v>
      </c>
      <c r="F111" s="113" t="s">
        <v>12</v>
      </c>
      <c r="G111" s="112" t="s">
        <v>59</v>
      </c>
      <c r="H111" s="112" t="s">
        <v>10</v>
      </c>
      <c r="J111" s="49">
        <v>0</v>
      </c>
      <c r="K111" s="49"/>
      <c r="L111" s="49"/>
      <c r="M111" s="49"/>
      <c r="N111" s="49">
        <f t="shared" si="2"/>
        <v>20000</v>
      </c>
      <c r="O111" s="49"/>
      <c r="P111" s="49">
        <v>20000</v>
      </c>
      <c r="Q111" s="49"/>
      <c r="R111" s="49">
        <v>20000</v>
      </c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49">
        <v>0</v>
      </c>
      <c r="K112" s="49"/>
      <c r="L112" s="49"/>
      <c r="M112" s="49"/>
      <c r="N112" s="49">
        <f t="shared" si="2"/>
        <v>50000</v>
      </c>
      <c r="O112" s="49"/>
      <c r="P112" s="49">
        <v>50000</v>
      </c>
      <c r="Q112" s="49"/>
      <c r="R112" s="49">
        <v>64700</v>
      </c>
    </row>
    <row r="113" spans="1:18" s="7" customFormat="1" ht="18" customHeight="1" x14ac:dyDescent="0.2">
      <c r="A113" s="314" t="s">
        <v>191</v>
      </c>
      <c r="B113" s="314"/>
      <c r="C113" s="314"/>
      <c r="J113" s="161">
        <f>SUM(J45:J112)</f>
        <v>77506</v>
      </c>
      <c r="K113" s="162"/>
      <c r="L113" s="161">
        <f>SUM(L45:L112)</f>
        <v>0</v>
      </c>
      <c r="M113" s="36"/>
      <c r="N113" s="161">
        <f>SUM(N45:N112)</f>
        <v>335400</v>
      </c>
      <c r="O113" s="36"/>
      <c r="P113" s="161">
        <f>SUM(P45:P112)</f>
        <v>335400</v>
      </c>
      <c r="Q113" s="36"/>
      <c r="R113" s="161">
        <f>SUM(R45:R112)</f>
        <v>335400</v>
      </c>
    </row>
    <row r="114" spans="1:18" s="7" customFormat="1" ht="6" hidden="1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8.9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15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11" t="s">
        <v>89</v>
      </c>
      <c r="B127" s="24"/>
      <c r="C127" s="2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92</v>
      </c>
      <c r="B129" s="111"/>
      <c r="C129" s="111"/>
      <c r="E129" s="112">
        <v>1</v>
      </c>
      <c r="F129" s="113" t="s">
        <v>93</v>
      </c>
      <c r="G129" s="112" t="s">
        <v>7</v>
      </c>
      <c r="H129" s="112" t="s">
        <v>8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  <c r="J132" s="49"/>
      <c r="K132" s="49"/>
      <c r="L132" s="49"/>
      <c r="M132" s="49"/>
      <c r="N132" s="49"/>
      <c r="O132" s="49"/>
      <c r="P132" s="49"/>
      <c r="Q132" s="49"/>
      <c r="R132" s="49"/>
    </row>
    <row r="133" spans="1:18" s="7" customFormat="1" ht="12.75" hidden="1" customHeight="1" x14ac:dyDescent="0.2">
      <c r="A133" s="86" t="s">
        <v>97</v>
      </c>
      <c r="B133" s="111"/>
      <c r="C133" s="111"/>
      <c r="E133" s="112">
        <v>1</v>
      </c>
      <c r="F133" s="113" t="s">
        <v>93</v>
      </c>
      <c r="G133" s="112" t="s">
        <v>93</v>
      </c>
      <c r="H133" s="112" t="s">
        <v>8</v>
      </c>
      <c r="J133" s="49"/>
      <c r="K133" s="49"/>
      <c r="L133" s="49"/>
      <c r="M133" s="49"/>
      <c r="N133" s="49"/>
      <c r="O133" s="49"/>
      <c r="P133" s="49"/>
      <c r="Q133" s="49"/>
      <c r="R133" s="49"/>
    </row>
    <row r="134" spans="1:18" s="7" customFormat="1" ht="12.75" hidden="1" customHeight="1" x14ac:dyDescent="0.2">
      <c r="A134" s="86" t="s">
        <v>98</v>
      </c>
      <c r="B134" s="116"/>
      <c r="C134" s="116"/>
      <c r="E134" s="112">
        <v>1</v>
      </c>
      <c r="F134" s="113" t="s">
        <v>93</v>
      </c>
      <c r="G134" s="112" t="s">
        <v>54</v>
      </c>
      <c r="H134" s="112" t="s">
        <v>15</v>
      </c>
      <c r="J134" s="49"/>
      <c r="K134" s="49"/>
      <c r="L134" s="49"/>
      <c r="M134" s="49"/>
      <c r="N134" s="49"/>
      <c r="O134" s="49"/>
      <c r="P134" s="49"/>
      <c r="Q134" s="49"/>
      <c r="R134" s="49"/>
    </row>
    <row r="135" spans="1:18" s="7" customFormat="1" ht="12.75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  <c r="J135" s="49"/>
      <c r="K135" s="49"/>
      <c r="L135" s="49"/>
      <c r="M135" s="49"/>
      <c r="N135" s="49">
        <f>P135-L135</f>
        <v>5000</v>
      </c>
      <c r="O135" s="49"/>
      <c r="P135" s="49">
        <v>5000</v>
      </c>
      <c r="Q135" s="49"/>
      <c r="R135" s="49"/>
    </row>
    <row r="136" spans="1:1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  <c r="J136" s="49"/>
      <c r="K136" s="49"/>
      <c r="L136" s="49"/>
      <c r="M136" s="49"/>
      <c r="N136" s="49"/>
      <c r="O136" s="49"/>
      <c r="P136" s="49"/>
      <c r="Q136" s="49"/>
      <c r="R136" s="49"/>
    </row>
    <row r="137" spans="1:18" s="7" customFormat="1" ht="12.7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  <c r="J137" s="49"/>
      <c r="K137" s="49"/>
      <c r="L137" s="49"/>
      <c r="M137" s="49"/>
      <c r="N137" s="49"/>
      <c r="O137" s="49"/>
      <c r="P137" s="49"/>
      <c r="Q137" s="49"/>
      <c r="R137" s="49"/>
    </row>
    <row r="138" spans="1:1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  <c r="J138" s="49"/>
      <c r="K138" s="49"/>
      <c r="L138" s="49"/>
      <c r="M138" s="49"/>
      <c r="N138" s="49"/>
      <c r="O138" s="49"/>
      <c r="P138" s="49"/>
      <c r="Q138" s="49"/>
      <c r="R138" s="49"/>
    </row>
    <row r="139" spans="1:1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  <c r="J139" s="49"/>
      <c r="K139" s="49"/>
      <c r="L139" s="49"/>
      <c r="M139" s="49"/>
      <c r="N139" s="49"/>
      <c r="O139" s="49"/>
      <c r="P139" s="49"/>
      <c r="Q139" s="49"/>
      <c r="R139" s="49"/>
    </row>
    <row r="140" spans="1:1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  <c r="J140" s="49"/>
      <c r="K140" s="49"/>
      <c r="L140" s="49"/>
      <c r="M140" s="49"/>
      <c r="N140" s="49"/>
      <c r="O140" s="49"/>
      <c r="P140" s="49"/>
      <c r="Q140" s="49"/>
      <c r="R140" s="49"/>
    </row>
    <row r="141" spans="1:1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  <c r="J141" s="49"/>
      <c r="K141" s="49"/>
      <c r="L141" s="49"/>
      <c r="M141" s="49"/>
      <c r="N141" s="49"/>
      <c r="O141" s="49"/>
      <c r="P141" s="49"/>
      <c r="Q141" s="49"/>
      <c r="R141" s="49"/>
    </row>
    <row r="142" spans="1:1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  <c r="J142" s="49"/>
      <c r="K142" s="49"/>
      <c r="L142" s="49"/>
      <c r="M142" s="49"/>
      <c r="N142" s="49"/>
      <c r="O142" s="49"/>
      <c r="P142" s="49"/>
      <c r="Q142" s="49"/>
      <c r="R142" s="49"/>
    </row>
    <row r="143" spans="1:1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  <c r="J143" s="49"/>
      <c r="K143" s="49"/>
      <c r="L143" s="49"/>
      <c r="M143" s="49"/>
      <c r="N143" s="49"/>
      <c r="O143" s="49"/>
      <c r="P143" s="49"/>
      <c r="Q143" s="49"/>
      <c r="R143" s="49"/>
    </row>
    <row r="144" spans="1:1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  <c r="J144" s="49"/>
      <c r="K144" s="49"/>
      <c r="L144" s="49"/>
      <c r="M144" s="49"/>
      <c r="N144" s="49"/>
      <c r="O144" s="49"/>
      <c r="P144" s="49"/>
      <c r="Q144" s="49"/>
      <c r="R144" s="49"/>
    </row>
    <row r="145" spans="1:18" s="7" customFormat="1" ht="12.75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  <c r="J145" s="49"/>
      <c r="K145" s="49"/>
      <c r="L145" s="49"/>
      <c r="M145" s="49"/>
      <c r="N145" s="49"/>
      <c r="O145" s="49"/>
      <c r="P145" s="49"/>
      <c r="Q145" s="49"/>
      <c r="R145" s="49"/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27" customFormat="1" ht="18" customHeight="1" x14ac:dyDescent="0.2">
      <c r="A148" s="102" t="s">
        <v>108</v>
      </c>
      <c r="B148" s="26"/>
      <c r="C148" s="26"/>
      <c r="J148" s="21">
        <f>SUM(J127:J147)</f>
        <v>0</v>
      </c>
      <c r="K148" s="23"/>
      <c r="L148" s="21">
        <f>SUM(L127:L147)</f>
        <v>0</v>
      </c>
      <c r="M148" s="172"/>
      <c r="N148" s="21">
        <f>SUM(N127:N147)</f>
        <v>5000</v>
      </c>
      <c r="O148" s="172"/>
      <c r="P148" s="21">
        <f>SUM(P127:P147)</f>
        <v>5000</v>
      </c>
      <c r="Q148" s="172"/>
      <c r="R148" s="21">
        <f>SUM(R132:R145)</f>
        <v>0</v>
      </c>
    </row>
    <row r="149" spans="1:18" s="7" customFormat="1" ht="6" customHeight="1" x14ac:dyDescent="0.2"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s="7" customFormat="1" ht="18" customHeight="1" thickBot="1" x14ac:dyDescent="0.25">
      <c r="A150" s="28" t="s">
        <v>110</v>
      </c>
      <c r="B150" s="28"/>
      <c r="C150" s="28"/>
      <c r="J150" s="29">
        <f>J42+J113+J124+J148</f>
        <v>10274469.08</v>
      </c>
      <c r="K150" s="23"/>
      <c r="L150" s="29">
        <f>L42+L113+L124+L148</f>
        <v>5195145.7300000004</v>
      </c>
      <c r="M150" s="36"/>
      <c r="N150" s="29">
        <f>N42+N113+N124+N148</f>
        <v>8313905.9900000012</v>
      </c>
      <c r="O150" s="36"/>
      <c r="P150" s="29">
        <f>P42+P113+P124+P148</f>
        <v>13509051.720000001</v>
      </c>
      <c r="Q150" s="36"/>
      <c r="R150" s="29">
        <f>R42+R113+R148</f>
        <v>13827601.68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46"/>
      <c r="C154" s="168" t="s">
        <v>276</v>
      </c>
      <c r="D154" s="33"/>
      <c r="E154" s="32"/>
      <c r="G154" s="31"/>
      <c r="I154" s="31"/>
      <c r="M154" s="47"/>
      <c r="N154" s="311" t="s">
        <v>135</v>
      </c>
      <c r="O154" s="311"/>
      <c r="P154" s="311"/>
    </row>
    <row r="155" spans="1:18" x14ac:dyDescent="0.2">
      <c r="A155" s="46"/>
      <c r="C155" s="168"/>
      <c r="D155" s="33"/>
      <c r="E155" s="32"/>
      <c r="G155" s="31"/>
      <c r="I155" s="31"/>
      <c r="M155" s="47"/>
      <c r="N155" s="106"/>
      <c r="O155" s="106"/>
      <c r="P155" s="106"/>
    </row>
    <row r="156" spans="1:18" x14ac:dyDescent="0.2">
      <c r="A156" s="50"/>
      <c r="C156" s="168"/>
      <c r="D156" s="33"/>
      <c r="E156" s="51"/>
      <c r="G156" s="31"/>
      <c r="I156" s="31"/>
      <c r="M156" s="107"/>
      <c r="N156" s="36"/>
      <c r="O156" s="36"/>
      <c r="P156" s="51"/>
    </row>
    <row r="157" spans="1:18" x14ac:dyDescent="0.2">
      <c r="A157" s="52"/>
      <c r="C157" s="31"/>
      <c r="D157" s="31"/>
      <c r="E157" s="53"/>
      <c r="G157" s="31"/>
      <c r="I157" s="31"/>
      <c r="M157" s="31"/>
      <c r="P157" s="53"/>
    </row>
    <row r="158" spans="1:18" x14ac:dyDescent="0.2">
      <c r="A158" s="54"/>
      <c r="C158" s="169" t="s">
        <v>291</v>
      </c>
      <c r="D158" s="55"/>
      <c r="E158" s="56"/>
      <c r="G158" s="31"/>
      <c r="I158" s="31"/>
      <c r="M158" s="57"/>
      <c r="N158" s="312" t="s">
        <v>137</v>
      </c>
      <c r="O158" s="312"/>
      <c r="P158" s="312"/>
    </row>
    <row r="159" spans="1:18" x14ac:dyDescent="0.2">
      <c r="A159" s="52"/>
      <c r="C159" s="168" t="s">
        <v>269</v>
      </c>
      <c r="D159" s="31"/>
      <c r="E159" s="32"/>
      <c r="G159" s="31"/>
      <c r="I159" s="31"/>
      <c r="M159" s="33"/>
      <c r="N159" s="313" t="s">
        <v>139</v>
      </c>
      <c r="O159" s="313"/>
      <c r="P159" s="313"/>
    </row>
  </sheetData>
  <customSheetViews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R113" sqref="R113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25" activePane="bottomRight" state="frozen"/>
      <selection pane="bottomRight" activeCell="R149" sqref="R14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25" activePane="bottomRight" state="frozen"/>
      <selection pane="bottomRight" activeCell="R158" sqref="R15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D15" activePane="bottomRight" state="frozen"/>
      <selection pane="bottomRight" activeCell="P151" sqref="P151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56" activePane="bottomRight" state="frozen"/>
      <selection pane="bottomRight" activeCell="R112" sqref="R112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154:P154"/>
    <mergeCell ref="N158:P158"/>
    <mergeCell ref="N159:P159"/>
    <mergeCell ref="A13:C13"/>
    <mergeCell ref="E13:H13"/>
    <mergeCell ref="A113:C113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4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156"/>
  <sheetViews>
    <sheetView view="pageBreakPreview" zoomScaleNormal="85" zoomScaleSheetLayoutView="100" workbookViewId="0">
      <pane xSplit="1" ySplit="14" topLeftCell="B64" activePane="bottomRight" state="frozen"/>
      <selection pane="topRight" activeCell="B1" sqref="B1"/>
      <selection pane="bottomLeft" activeCell="A15" sqref="A15"/>
      <selection pane="bottomRight" activeCell="R111" sqref="R11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20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20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0" ht="9" customHeight="1" x14ac:dyDescent="0.2"/>
    <row r="4" spans="1:20" ht="15" customHeight="1" x14ac:dyDescent="0.25">
      <c r="A4" s="2" t="s">
        <v>118</v>
      </c>
      <c r="B4" s="2" t="s">
        <v>113</v>
      </c>
      <c r="C4" s="73" t="s">
        <v>205</v>
      </c>
      <c r="H4" s="3"/>
      <c r="I4" s="3"/>
      <c r="R4" s="77">
        <v>1081</v>
      </c>
    </row>
    <row r="5" spans="1:20" ht="15" customHeight="1" x14ac:dyDescent="0.2">
      <c r="A5" s="5" t="s">
        <v>119</v>
      </c>
      <c r="B5" s="2" t="s">
        <v>113</v>
      </c>
      <c r="C5" s="5" t="s">
        <v>115</v>
      </c>
    </row>
    <row r="6" spans="1:20" ht="15" customHeight="1" x14ac:dyDescent="0.2">
      <c r="A6" s="5" t="s">
        <v>120</v>
      </c>
      <c r="B6" s="2" t="s">
        <v>113</v>
      </c>
      <c r="C6" s="5" t="s">
        <v>329</v>
      </c>
    </row>
    <row r="7" spans="1:20" ht="15" customHeight="1" x14ac:dyDescent="0.2">
      <c r="A7" s="6" t="s">
        <v>121</v>
      </c>
      <c r="B7" s="2" t="s">
        <v>113</v>
      </c>
      <c r="C7" s="6" t="s">
        <v>117</v>
      </c>
    </row>
    <row r="8" spans="1:20" ht="9" customHeight="1" x14ac:dyDescent="0.2">
      <c r="A8" s="6"/>
      <c r="B8" s="2"/>
      <c r="C8" s="6"/>
    </row>
    <row r="9" spans="1:20" ht="15" customHeight="1" x14ac:dyDescent="0.2">
      <c r="L9" s="317" t="s">
        <v>122</v>
      </c>
      <c r="M9" s="317"/>
      <c r="N9" s="317"/>
      <c r="O9" s="317"/>
      <c r="P9" s="317"/>
      <c r="Q9" s="91"/>
    </row>
    <row r="10" spans="1:20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20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20" ht="15" customHeight="1" x14ac:dyDescent="0.2">
      <c r="A12" s="90"/>
      <c r="B12" s="90"/>
      <c r="C12" s="90"/>
      <c r="D12" s="9"/>
      <c r="E12" s="90"/>
      <c r="F12" s="90"/>
      <c r="G12" s="90"/>
      <c r="H12" s="90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20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20" ht="6" customHeight="1" x14ac:dyDescent="0.2">
      <c r="K14" s="7"/>
      <c r="M14" s="7"/>
      <c r="O14" s="7"/>
      <c r="Q14" s="7"/>
    </row>
    <row r="15" spans="1:20" s="7" customFormat="1" ht="12.75" customHeight="1" x14ac:dyDescent="0.2">
      <c r="A15" s="68" t="s">
        <v>187</v>
      </c>
      <c r="B15" s="12"/>
      <c r="C15" s="12"/>
      <c r="J15" s="13"/>
      <c r="K15" s="13"/>
    </row>
    <row r="16" spans="1:20" s="7" customFormat="1" ht="14.2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13">
        <v>11314354.17</v>
      </c>
      <c r="K16" s="13"/>
      <c r="L16" s="36">
        <v>6043900.7300000004</v>
      </c>
      <c r="M16" s="36"/>
      <c r="N16" s="36">
        <f t="shared" ref="N16:N21" si="0">P16-L16</f>
        <v>9694100.6699999999</v>
      </c>
      <c r="O16" s="36"/>
      <c r="P16" s="36">
        <v>15738001.4</v>
      </c>
      <c r="Q16" s="36"/>
      <c r="R16" s="187">
        <v>16459969.289999999</v>
      </c>
      <c r="T16" s="7" t="str">
        <f t="shared" ref="T16:T40" si="1">E16&amp;"-"&amp;F16&amp;"-"&amp;G16&amp;"-"&amp;H16</f>
        <v>5-01-01-010</v>
      </c>
    </row>
    <row r="17" spans="1:20" s="7" customFormat="1" ht="14.2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9"/>
      <c r="K17" s="39"/>
      <c r="L17" s="36"/>
      <c r="M17" s="36"/>
      <c r="N17" s="36">
        <f t="shared" si="0"/>
        <v>0</v>
      </c>
      <c r="O17" s="36"/>
      <c r="P17" s="36"/>
      <c r="Q17" s="36"/>
      <c r="R17" s="36"/>
      <c r="T17" s="7" t="str">
        <f t="shared" si="1"/>
        <v>5-01-01-020</v>
      </c>
    </row>
    <row r="18" spans="1:20" s="7" customFormat="1" ht="14.2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13">
        <v>799458.94</v>
      </c>
      <c r="K18" s="13"/>
      <c r="L18" s="36">
        <v>417818.18</v>
      </c>
      <c r="M18" s="36"/>
      <c r="N18" s="36">
        <f t="shared" si="0"/>
        <v>686181.82000000007</v>
      </c>
      <c r="O18" s="36"/>
      <c r="P18" s="36">
        <v>1104000</v>
      </c>
      <c r="Q18" s="36"/>
      <c r="R18" s="187">
        <v>1104000</v>
      </c>
      <c r="T18" s="7" t="str">
        <f t="shared" si="1"/>
        <v>5-01-02-010</v>
      </c>
    </row>
    <row r="19" spans="1:20" s="7" customFormat="1" ht="14.2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13">
        <v>89250</v>
      </c>
      <c r="K19" s="13"/>
      <c r="L19" s="36">
        <v>51000</v>
      </c>
      <c r="M19" s="36"/>
      <c r="N19" s="36">
        <f t="shared" si="0"/>
        <v>51000</v>
      </c>
      <c r="O19" s="36"/>
      <c r="P19" s="36">
        <v>102000</v>
      </c>
      <c r="Q19" s="36"/>
      <c r="R19" s="187">
        <v>102000</v>
      </c>
      <c r="T19" s="7" t="str">
        <f t="shared" si="1"/>
        <v>5-01-02-020</v>
      </c>
    </row>
    <row r="20" spans="1:20" s="7" customFormat="1" ht="14.2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13">
        <v>34000</v>
      </c>
      <c r="K20" s="13"/>
      <c r="L20" s="36">
        <v>51000</v>
      </c>
      <c r="M20" s="36"/>
      <c r="N20" s="36">
        <f t="shared" si="0"/>
        <v>51000</v>
      </c>
      <c r="O20" s="36"/>
      <c r="P20" s="36">
        <v>102000</v>
      </c>
      <c r="Q20" s="36"/>
      <c r="R20" s="187">
        <v>102000</v>
      </c>
      <c r="T20" s="7" t="str">
        <f t="shared" si="1"/>
        <v>5-01-02-030</v>
      </c>
    </row>
    <row r="21" spans="1:20" s="7" customFormat="1" ht="14.2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13">
        <v>204000</v>
      </c>
      <c r="K21" s="13"/>
      <c r="L21" s="36">
        <v>210000</v>
      </c>
      <c r="M21" s="36"/>
      <c r="N21" s="36">
        <f t="shared" si="0"/>
        <v>66000</v>
      </c>
      <c r="O21" s="36"/>
      <c r="P21" s="36">
        <v>276000</v>
      </c>
      <c r="Q21" s="36"/>
      <c r="R21" s="187">
        <v>276000</v>
      </c>
      <c r="T21" s="7" t="str">
        <f t="shared" si="1"/>
        <v>5-01-02-040</v>
      </c>
    </row>
    <row r="22" spans="1:20" s="7" customFormat="1" ht="14.2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13"/>
      <c r="K22" s="13"/>
      <c r="L22" s="36"/>
      <c r="M22" s="36"/>
      <c r="N22" s="36"/>
      <c r="O22" s="36"/>
      <c r="P22" s="36"/>
      <c r="Q22" s="36"/>
      <c r="R22" s="36"/>
      <c r="T22" s="7" t="str">
        <f t="shared" si="1"/>
        <v>5-01-02-050</v>
      </c>
    </row>
    <row r="23" spans="1:20" s="7" customFormat="1" ht="14.2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13"/>
      <c r="K23" s="13"/>
      <c r="L23" s="36"/>
      <c r="M23" s="36"/>
      <c r="N23" s="36"/>
      <c r="O23" s="36"/>
      <c r="P23" s="36"/>
      <c r="Q23" s="36"/>
      <c r="R23" s="36"/>
      <c r="T23" s="7" t="str">
        <f t="shared" si="1"/>
        <v>5-01-02-090</v>
      </c>
    </row>
    <row r="24" spans="1:20" s="7" customFormat="1" ht="14.2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13"/>
      <c r="K24" s="13"/>
      <c r="L24" s="36"/>
      <c r="M24" s="36"/>
      <c r="N24" s="36">
        <f t="shared" ref="N24:N36" si="2">P24-L24</f>
        <v>0</v>
      </c>
      <c r="O24" s="36"/>
      <c r="P24" s="36"/>
      <c r="Q24" s="36"/>
      <c r="R24" s="36"/>
      <c r="T24" s="7" t="str">
        <f t="shared" si="1"/>
        <v>5-01-02-060</v>
      </c>
    </row>
    <row r="25" spans="1:20" s="7" customFormat="1" ht="14.2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13"/>
      <c r="K25" s="13"/>
      <c r="L25" s="36"/>
      <c r="M25" s="36"/>
      <c r="N25" s="36">
        <f t="shared" si="2"/>
        <v>0</v>
      </c>
      <c r="O25" s="36"/>
      <c r="P25" s="36"/>
      <c r="Q25" s="36"/>
      <c r="R25" s="36"/>
      <c r="T25" s="7" t="str">
        <f t="shared" si="1"/>
        <v>5-01-02-070</v>
      </c>
    </row>
    <row r="26" spans="1:20" s="7" customFormat="1" ht="14.2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13"/>
      <c r="K26" s="13"/>
      <c r="L26" s="36"/>
      <c r="M26" s="36"/>
      <c r="N26" s="36">
        <f t="shared" si="2"/>
        <v>0</v>
      </c>
      <c r="O26" s="36"/>
      <c r="P26" s="36"/>
      <c r="Q26" s="36"/>
      <c r="R26" s="36"/>
      <c r="T26" s="7" t="str">
        <f t="shared" si="1"/>
        <v>5-01-02-100</v>
      </c>
    </row>
    <row r="27" spans="1:20" s="7" customFormat="1" ht="14.2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13"/>
      <c r="K27" s="13"/>
      <c r="L27" s="36">
        <v>159500</v>
      </c>
      <c r="M27" s="36"/>
      <c r="N27" s="36">
        <f t="shared" si="2"/>
        <v>500</v>
      </c>
      <c r="O27" s="36"/>
      <c r="P27" s="36">
        <v>160000</v>
      </c>
      <c r="Q27" s="36"/>
      <c r="R27" s="36"/>
      <c r="T27" s="7" t="str">
        <f t="shared" si="1"/>
        <v>5-01-02-110</v>
      </c>
    </row>
    <row r="28" spans="1:20" s="7" customFormat="1" ht="14.2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2"/>
        <v>0</v>
      </c>
      <c r="O28" s="36"/>
      <c r="P28" s="36"/>
      <c r="Q28" s="36"/>
      <c r="R28" s="36"/>
      <c r="T28" s="7" t="str">
        <f t="shared" si="1"/>
        <v>5-01-02-120</v>
      </c>
    </row>
    <row r="29" spans="1:20" s="7" customFormat="1" ht="14.2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2"/>
        <v>0</v>
      </c>
      <c r="O29" s="36"/>
      <c r="P29" s="36"/>
      <c r="Q29" s="36"/>
      <c r="R29" s="36"/>
      <c r="T29" s="7" t="str">
        <f t="shared" si="1"/>
        <v>5-01-02-130</v>
      </c>
    </row>
    <row r="30" spans="1:20" s="7" customFormat="1" ht="14.2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917409.6</v>
      </c>
      <c r="K30" s="36"/>
      <c r="L30" s="36"/>
      <c r="M30" s="36"/>
      <c r="N30" s="36">
        <f>P30-L30</f>
        <v>1318081</v>
      </c>
      <c r="O30" s="36"/>
      <c r="P30" s="36">
        <v>1318081</v>
      </c>
      <c r="Q30" s="36"/>
      <c r="R30" s="187">
        <v>1373399</v>
      </c>
    </row>
    <row r="31" spans="1:20" s="7" customFormat="1" ht="14.2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159000</v>
      </c>
      <c r="K31" s="36"/>
      <c r="L31" s="36"/>
      <c r="M31" s="36"/>
      <c r="N31" s="36">
        <f t="shared" si="2"/>
        <v>230000</v>
      </c>
      <c r="O31" s="36"/>
      <c r="P31" s="36">
        <v>230000</v>
      </c>
      <c r="Q31" s="36"/>
      <c r="R31" s="187">
        <v>230000</v>
      </c>
      <c r="T31" s="7" t="str">
        <f t="shared" si="1"/>
        <v>5-01-02-150</v>
      </c>
    </row>
    <row r="32" spans="1:20" s="7" customFormat="1" ht="14.2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13">
        <v>951675</v>
      </c>
      <c r="K32" s="13"/>
      <c r="L32" s="36">
        <v>1009970</v>
      </c>
      <c r="M32" s="36"/>
      <c r="N32" s="36">
        <f>P32-L32</f>
        <v>308111</v>
      </c>
      <c r="O32" s="36"/>
      <c r="P32" s="36">
        <v>1318081</v>
      </c>
      <c r="Q32" s="36"/>
      <c r="R32" s="187">
        <v>1373399</v>
      </c>
      <c r="T32" s="7" t="str">
        <f>E30&amp;"-"&amp;F30&amp;"-"&amp;G30&amp;"-"&amp;H30</f>
        <v>5-01-02-140</v>
      </c>
    </row>
    <row r="33" spans="1:20" s="7" customFormat="1" ht="14.2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1358428.87</v>
      </c>
      <c r="K33" s="36"/>
      <c r="L33" s="36">
        <v>725274.09</v>
      </c>
      <c r="M33" s="36"/>
      <c r="N33" s="36">
        <f t="shared" si="2"/>
        <v>1172762.5499999998</v>
      </c>
      <c r="O33" s="36"/>
      <c r="P33" s="36">
        <v>1898036.64</v>
      </c>
      <c r="Q33" s="36"/>
      <c r="R33" s="187">
        <v>1977694.56</v>
      </c>
      <c r="T33" s="7" t="str">
        <f t="shared" si="1"/>
        <v>5-01-03-010</v>
      </c>
    </row>
    <row r="34" spans="1:20" s="7" customFormat="1" ht="14.2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40100</v>
      </c>
      <c r="K34" s="36"/>
      <c r="L34" s="36">
        <v>20800</v>
      </c>
      <c r="M34" s="36"/>
      <c r="N34" s="36">
        <f t="shared" si="2"/>
        <v>34400</v>
      </c>
      <c r="O34" s="36"/>
      <c r="P34" s="36">
        <v>55200</v>
      </c>
      <c r="Q34" s="36"/>
      <c r="R34" s="187">
        <v>55200</v>
      </c>
      <c r="T34" s="7" t="str">
        <f t="shared" si="1"/>
        <v>5-01-03-020</v>
      </c>
    </row>
    <row r="35" spans="1:20" s="7" customFormat="1" ht="14.2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132640.57999999999</v>
      </c>
      <c r="K35" s="36"/>
      <c r="L35" s="36">
        <v>86772.6</v>
      </c>
      <c r="M35" s="36"/>
      <c r="N35" s="36">
        <f t="shared" si="2"/>
        <v>134338.32</v>
      </c>
      <c r="O35" s="36"/>
      <c r="P35" s="36">
        <v>221110.92</v>
      </c>
      <c r="Q35" s="36"/>
      <c r="R35" s="187">
        <v>278344.92</v>
      </c>
      <c r="T35" s="7" t="str">
        <f t="shared" si="1"/>
        <v>5-01-03-030</v>
      </c>
    </row>
    <row r="36" spans="1:20" s="7" customFormat="1" ht="14.2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40054.99</v>
      </c>
      <c r="K36" s="36"/>
      <c r="L36" s="36">
        <v>20800</v>
      </c>
      <c r="M36" s="36"/>
      <c r="N36" s="36">
        <f t="shared" si="2"/>
        <v>34400</v>
      </c>
      <c r="O36" s="36"/>
      <c r="P36" s="36">
        <v>55200</v>
      </c>
      <c r="Q36" s="36"/>
      <c r="R36" s="187">
        <v>55200</v>
      </c>
      <c r="T36" s="7" t="str">
        <f t="shared" si="1"/>
        <v>5-01-03-040</v>
      </c>
    </row>
    <row r="37" spans="1:20" s="7" customFormat="1" ht="14.2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/>
      <c r="O37" s="36"/>
      <c r="P37" s="36"/>
      <c r="Q37" s="36"/>
      <c r="R37" s="36"/>
      <c r="T37" s="7" t="str">
        <f t="shared" si="1"/>
        <v>5-01-04-010</v>
      </c>
    </row>
    <row r="38" spans="1:20" s="7" customFormat="1" ht="14.2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/>
      <c r="O38" s="36"/>
      <c r="P38" s="36"/>
      <c r="Q38" s="36"/>
      <c r="R38" s="36"/>
      <c r="T38" s="7" t="str">
        <f t="shared" si="1"/>
        <v>5-01-04-020</v>
      </c>
    </row>
    <row r="39" spans="1:20" s="7" customFormat="1" ht="14.2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>
        <v>19479.86</v>
      </c>
      <c r="K39" s="36"/>
      <c r="L39" s="36"/>
      <c r="M39" s="36"/>
      <c r="N39" s="36">
        <f>P39-L39</f>
        <v>466175.5</v>
      </c>
      <c r="O39" s="36"/>
      <c r="P39" s="36">
        <v>466175.5</v>
      </c>
      <c r="Q39" s="36"/>
      <c r="R39" s="36"/>
      <c r="T39" s="7" t="str">
        <f t="shared" si="1"/>
        <v>5-01-04-030</v>
      </c>
    </row>
    <row r="40" spans="1:20" s="7" customFormat="1" ht="14.2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166500</v>
      </c>
      <c r="K40" s="36"/>
      <c r="L40" s="36"/>
      <c r="M40" s="36"/>
      <c r="N40" s="36">
        <f>P40-L40</f>
        <v>245000</v>
      </c>
      <c r="O40" s="36"/>
      <c r="P40" s="36">
        <v>245000</v>
      </c>
      <c r="Q40" s="36"/>
      <c r="R40" s="187">
        <v>230000</v>
      </c>
      <c r="T40" s="7" t="str">
        <f t="shared" si="1"/>
        <v>5-01-04-990</v>
      </c>
    </row>
    <row r="41" spans="1:20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20" s="7" customFormat="1" ht="18.95" customHeight="1" x14ac:dyDescent="0.2">
      <c r="A42" s="63" t="s">
        <v>36</v>
      </c>
      <c r="B42" s="26"/>
      <c r="C42" s="26"/>
      <c r="J42" s="161">
        <f>SUM(J16:J41)</f>
        <v>16226352.009999998</v>
      </c>
      <c r="K42" s="162"/>
      <c r="L42" s="161">
        <f>SUM(L16:L41)</f>
        <v>8796835.5999999996</v>
      </c>
      <c r="M42" s="36"/>
      <c r="N42" s="161">
        <f>SUM(N16:N41)</f>
        <v>14492050.859999999</v>
      </c>
      <c r="O42" s="36"/>
      <c r="P42" s="161">
        <f>SUM(P16:P41)</f>
        <v>23288886.460000001</v>
      </c>
      <c r="Q42" s="36"/>
      <c r="R42" s="161">
        <f>SUM(R16:R41)</f>
        <v>23617206.77</v>
      </c>
    </row>
    <row r="43" spans="1:20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20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20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36">
        <v>18850</v>
      </c>
      <c r="K45" s="36"/>
      <c r="L45" s="36"/>
      <c r="M45" s="36"/>
      <c r="N45" s="36">
        <f t="shared" ref="N45:N73" si="3">P45-L45</f>
        <v>43000</v>
      </c>
      <c r="O45" s="36"/>
      <c r="P45" s="36">
        <v>43000</v>
      </c>
      <c r="Q45" s="36"/>
      <c r="R45" s="187">
        <v>33000</v>
      </c>
    </row>
    <row r="46" spans="1:20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>
        <f t="shared" si="3"/>
        <v>0</v>
      </c>
      <c r="O46" s="36"/>
      <c r="P46" s="36"/>
      <c r="Q46" s="36"/>
      <c r="R46" s="36"/>
    </row>
    <row r="47" spans="1:20" s="7" customFormat="1" ht="12.75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>
        <v>7000</v>
      </c>
      <c r="K47" s="36"/>
      <c r="L47" s="36"/>
      <c r="M47" s="36"/>
      <c r="N47" s="36">
        <f t="shared" si="3"/>
        <v>0</v>
      </c>
      <c r="O47" s="36"/>
      <c r="P47" s="36"/>
      <c r="Q47" s="36"/>
      <c r="R47" s="36"/>
    </row>
    <row r="48" spans="1:20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36"/>
      <c r="K48" s="36"/>
      <c r="L48" s="36"/>
      <c r="M48" s="36"/>
      <c r="N48" s="36">
        <f t="shared" si="3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41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10</v>
      </c>
      <c r="J49" s="36"/>
      <c r="K49" s="36"/>
      <c r="L49" s="36"/>
      <c r="M49" s="36"/>
      <c r="N49" s="36">
        <f t="shared" si="3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42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17</v>
      </c>
      <c r="J50" s="36"/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43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64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88</v>
      </c>
      <c r="B52" s="111"/>
      <c r="C52" s="111"/>
      <c r="E52" s="112">
        <v>5</v>
      </c>
      <c r="F52" s="113" t="s">
        <v>12</v>
      </c>
      <c r="G52" s="112" t="s">
        <v>29</v>
      </c>
      <c r="H52" s="112" t="s">
        <v>60</v>
      </c>
      <c r="J52" s="36"/>
      <c r="K52" s="36"/>
      <c r="L52" s="36"/>
      <c r="M52" s="36"/>
      <c r="N52" s="36">
        <f t="shared" si="3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150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19</v>
      </c>
      <c r="J53" s="39"/>
      <c r="K53" s="39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151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82</v>
      </c>
      <c r="J54" s="39"/>
      <c r="K54" s="39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customHeight="1" x14ac:dyDescent="0.2">
      <c r="A55" s="86" t="s">
        <v>44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45</v>
      </c>
      <c r="J55" s="39">
        <v>41408.79</v>
      </c>
      <c r="K55" s="39"/>
      <c r="L55" s="36"/>
      <c r="M55" s="36"/>
      <c r="N55" s="36">
        <f t="shared" si="3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152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102</v>
      </c>
      <c r="J56" s="36"/>
      <c r="K56" s="36"/>
      <c r="L56" s="36"/>
      <c r="M56" s="36"/>
      <c r="N56" s="36">
        <f t="shared" si="3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153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146</v>
      </c>
      <c r="J57" s="36"/>
      <c r="K57" s="36"/>
      <c r="L57" s="36"/>
      <c r="M57" s="36"/>
      <c r="N57" s="36">
        <f t="shared" si="3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46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47</v>
      </c>
      <c r="J58" s="36"/>
      <c r="K58" s="36"/>
      <c r="L58" s="36"/>
      <c r="M58" s="36"/>
      <c r="N58" s="36">
        <f t="shared" si="3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154</v>
      </c>
      <c r="B59" s="111"/>
      <c r="C59" s="111"/>
      <c r="E59" s="112">
        <v>5</v>
      </c>
      <c r="F59" s="113" t="s">
        <v>12</v>
      </c>
      <c r="G59" s="112" t="s">
        <v>29</v>
      </c>
      <c r="H59" s="112" t="s">
        <v>15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51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24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50</v>
      </c>
      <c r="B61" s="111"/>
      <c r="C61" s="111"/>
      <c r="D61" s="112"/>
      <c r="E61" s="112">
        <v>5</v>
      </c>
      <c r="F61" s="113" t="s">
        <v>12</v>
      </c>
      <c r="G61" s="112" t="s">
        <v>34</v>
      </c>
      <c r="H61" s="112" t="s">
        <v>8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52</v>
      </c>
      <c r="B62" s="111"/>
      <c r="C62" s="111"/>
      <c r="D62" s="112"/>
      <c r="E62" s="112">
        <v>5</v>
      </c>
      <c r="F62" s="113" t="s">
        <v>12</v>
      </c>
      <c r="G62" s="112" t="s">
        <v>34</v>
      </c>
      <c r="H62" s="112" t="s">
        <v>10</v>
      </c>
      <c r="J62" s="36"/>
      <c r="K62" s="36"/>
      <c r="L62" s="36"/>
      <c r="M62" s="36"/>
      <c r="N62" s="36">
        <f t="shared" si="3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48</v>
      </c>
      <c r="B63" s="111"/>
      <c r="C63" s="111"/>
      <c r="D63" s="112"/>
      <c r="E63" s="112">
        <v>5</v>
      </c>
      <c r="F63" s="113" t="s">
        <v>12</v>
      </c>
      <c r="G63" s="112" t="s">
        <v>29</v>
      </c>
      <c r="H63" s="114" t="s">
        <v>49</v>
      </c>
      <c r="J63" s="36"/>
      <c r="K63" s="36"/>
      <c r="L63" s="36"/>
      <c r="M63" s="36"/>
      <c r="N63" s="36">
        <f t="shared" si="3"/>
        <v>0</v>
      </c>
      <c r="O63" s="36"/>
      <c r="P63" s="36"/>
      <c r="Q63" s="36"/>
      <c r="R63" s="36"/>
    </row>
    <row r="64" spans="1:18" s="7" customFormat="1" ht="12.75" customHeight="1" x14ac:dyDescent="0.2">
      <c r="A64" s="86" t="s">
        <v>53</v>
      </c>
      <c r="B64" s="111"/>
      <c r="C64" s="111"/>
      <c r="E64" s="112">
        <v>5</v>
      </c>
      <c r="F64" s="113" t="s">
        <v>12</v>
      </c>
      <c r="G64" s="112" t="s">
        <v>54</v>
      </c>
      <c r="H64" s="112" t="s">
        <v>8</v>
      </c>
      <c r="J64" s="36"/>
      <c r="K64" s="36"/>
      <c r="L64" s="36"/>
      <c r="M64" s="36"/>
      <c r="N64" s="36">
        <f t="shared" si="3"/>
        <v>20000</v>
      </c>
      <c r="O64" s="36"/>
      <c r="P64" s="36">
        <v>20000</v>
      </c>
      <c r="Q64" s="36"/>
      <c r="R64" s="185">
        <v>30000</v>
      </c>
    </row>
    <row r="65" spans="1:18" s="7" customFormat="1" ht="12.75" hidden="1" customHeight="1" x14ac:dyDescent="0.2">
      <c r="A65" s="86" t="s">
        <v>55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10</v>
      </c>
      <c r="J65" s="36"/>
      <c r="K65" s="36"/>
      <c r="L65" s="36"/>
      <c r="M65" s="36"/>
      <c r="N65" s="36">
        <f t="shared" si="3"/>
        <v>0</v>
      </c>
      <c r="O65" s="36"/>
      <c r="P65" s="36"/>
      <c r="Q65" s="36"/>
      <c r="R65" s="36"/>
    </row>
    <row r="66" spans="1:18" s="7" customFormat="1" ht="12.75" hidden="1" customHeight="1" x14ac:dyDescent="0.2">
      <c r="A66" s="86" t="s">
        <v>56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15</v>
      </c>
      <c r="J66" s="36"/>
      <c r="K66" s="36"/>
      <c r="L66" s="36"/>
      <c r="M66" s="36"/>
      <c r="N66" s="36">
        <f t="shared" si="3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57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17</v>
      </c>
      <c r="J67" s="36"/>
      <c r="K67" s="36"/>
      <c r="L67" s="36"/>
      <c r="M67" s="36"/>
      <c r="N67" s="36">
        <f t="shared" si="3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58</v>
      </c>
      <c r="B68" s="111"/>
      <c r="C68" s="111"/>
      <c r="E68" s="112">
        <v>5</v>
      </c>
      <c r="F68" s="112" t="s">
        <v>12</v>
      </c>
      <c r="G68" s="112" t="s">
        <v>59</v>
      </c>
      <c r="H68" s="112" t="s">
        <v>60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66</v>
      </c>
      <c r="B69" s="111"/>
      <c r="C69" s="111"/>
      <c r="E69" s="112">
        <v>5</v>
      </c>
      <c r="F69" s="113" t="s">
        <v>12</v>
      </c>
      <c r="G69" s="112" t="s">
        <v>67</v>
      </c>
      <c r="H69" s="112" t="s">
        <v>8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61</v>
      </c>
      <c r="B70" s="111"/>
      <c r="C70" s="111"/>
      <c r="E70" s="112">
        <v>5</v>
      </c>
      <c r="F70" s="113" t="s">
        <v>12</v>
      </c>
      <c r="G70" s="112" t="s">
        <v>59</v>
      </c>
      <c r="H70" s="112" t="s">
        <v>8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63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64</v>
      </c>
      <c r="J71" s="36"/>
      <c r="K71" s="36"/>
      <c r="L71" s="36"/>
      <c r="M71" s="36"/>
      <c r="N71" s="36">
        <f t="shared" si="3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155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15</v>
      </c>
      <c r="J72" s="36"/>
      <c r="K72" s="36"/>
      <c r="L72" s="36"/>
      <c r="M72" s="36"/>
      <c r="N72" s="36">
        <f t="shared" si="3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156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17</v>
      </c>
      <c r="J73" s="36"/>
      <c r="K73" s="36"/>
      <c r="L73" s="36"/>
      <c r="M73" s="36"/>
      <c r="N73" s="36">
        <f t="shared" si="3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ref="N74:N110" si="4">P74-L74</f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19</v>
      </c>
      <c r="J75" s="36"/>
      <c r="K75" s="36"/>
      <c r="L75" s="36"/>
      <c r="M75" s="36"/>
      <c r="N75" s="36">
        <f t="shared" si="4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157</v>
      </c>
      <c r="B76" s="111"/>
      <c r="C76" s="111"/>
      <c r="E76" s="112">
        <v>5</v>
      </c>
      <c r="F76" s="113" t="s">
        <v>12</v>
      </c>
      <c r="G76" s="112" t="s">
        <v>93</v>
      </c>
      <c r="H76" s="112" t="s">
        <v>8</v>
      </c>
      <c r="J76" s="36"/>
      <c r="K76" s="36"/>
      <c r="L76" s="36"/>
      <c r="M76" s="36"/>
      <c r="N76" s="36">
        <f t="shared" si="4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66</v>
      </c>
      <c r="B77" s="111"/>
      <c r="C77" s="111"/>
      <c r="E77" s="112">
        <v>5</v>
      </c>
      <c r="F77" s="113" t="s">
        <v>12</v>
      </c>
      <c r="G77" s="112" t="s">
        <v>67</v>
      </c>
      <c r="H77" s="112" t="s">
        <v>8</v>
      </c>
      <c r="J77" s="36"/>
      <c r="K77" s="36"/>
      <c r="L77" s="36"/>
      <c r="M77" s="36"/>
      <c r="N77" s="36">
        <f t="shared" si="4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68</v>
      </c>
      <c r="B78" s="111"/>
      <c r="C78" s="111"/>
      <c r="E78" s="112">
        <v>5</v>
      </c>
      <c r="F78" s="113" t="s">
        <v>12</v>
      </c>
      <c r="G78" s="112" t="s">
        <v>67</v>
      </c>
      <c r="H78" s="112" t="s">
        <v>10</v>
      </c>
      <c r="J78" s="36"/>
      <c r="K78" s="36"/>
      <c r="L78" s="36"/>
      <c r="M78" s="36"/>
      <c r="N78" s="36">
        <f t="shared" si="4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158</v>
      </c>
      <c r="B79" s="111"/>
      <c r="C79" s="111"/>
      <c r="E79" s="112">
        <v>5</v>
      </c>
      <c r="F79" s="113" t="s">
        <v>12</v>
      </c>
      <c r="G79" s="112" t="s">
        <v>70</v>
      </c>
      <c r="H79" s="112" t="s">
        <v>8</v>
      </c>
      <c r="J79" s="36"/>
      <c r="K79" s="36"/>
      <c r="L79" s="36"/>
      <c r="M79" s="36"/>
      <c r="N79" s="36">
        <f t="shared" si="4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159</v>
      </c>
      <c r="B80" s="111"/>
      <c r="C80" s="111"/>
      <c r="E80" s="112">
        <v>5</v>
      </c>
      <c r="F80" s="113" t="s">
        <v>12</v>
      </c>
      <c r="G80" s="112" t="s">
        <v>70</v>
      </c>
      <c r="H80" s="112" t="s">
        <v>10</v>
      </c>
      <c r="J80" s="36"/>
      <c r="K80" s="36"/>
      <c r="L80" s="36"/>
      <c r="M80" s="36"/>
      <c r="N80" s="36">
        <f t="shared" si="4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69</v>
      </c>
      <c r="B81" s="111"/>
      <c r="C81" s="111"/>
      <c r="E81" s="112">
        <v>5</v>
      </c>
      <c r="F81" s="113" t="s">
        <v>12</v>
      </c>
      <c r="G81" s="112" t="s">
        <v>70</v>
      </c>
      <c r="H81" s="112" t="s">
        <v>15</v>
      </c>
      <c r="J81" s="36"/>
      <c r="K81" s="36"/>
      <c r="L81" s="36"/>
      <c r="M81" s="36"/>
      <c r="N81" s="36">
        <f t="shared" si="4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160</v>
      </c>
      <c r="B82" s="111"/>
      <c r="C82" s="111"/>
      <c r="E82" s="112">
        <v>5</v>
      </c>
      <c r="F82" s="113" t="s">
        <v>12</v>
      </c>
      <c r="G82" s="112" t="s">
        <v>163</v>
      </c>
      <c r="H82" s="112" t="s">
        <v>8</v>
      </c>
      <c r="J82" s="36"/>
      <c r="K82" s="36"/>
      <c r="L82" s="36"/>
      <c r="M82" s="36"/>
      <c r="N82" s="36">
        <f t="shared" si="4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161</v>
      </c>
      <c r="B83" s="111"/>
      <c r="C83" s="111"/>
      <c r="E83" s="112">
        <v>5</v>
      </c>
      <c r="F83" s="113" t="s">
        <v>12</v>
      </c>
      <c r="G83" s="112" t="s">
        <v>163</v>
      </c>
      <c r="H83" s="114" t="s">
        <v>49</v>
      </c>
      <c r="J83" s="36"/>
      <c r="K83" s="36"/>
      <c r="L83" s="36"/>
      <c r="M83" s="36"/>
      <c r="N83" s="36">
        <f t="shared" si="4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71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10</v>
      </c>
      <c r="J84" s="36"/>
      <c r="K84" s="36"/>
      <c r="L84" s="36"/>
      <c r="M84" s="36"/>
      <c r="N84" s="36">
        <f t="shared" si="4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162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15</v>
      </c>
      <c r="J85" s="36"/>
      <c r="K85" s="36"/>
      <c r="L85" s="36"/>
      <c r="M85" s="36"/>
      <c r="N85" s="36">
        <f t="shared" si="4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72</v>
      </c>
      <c r="B86" s="111"/>
      <c r="C86" s="111"/>
      <c r="E86" s="112">
        <v>5</v>
      </c>
      <c r="F86" s="113" t="s">
        <v>12</v>
      </c>
      <c r="G86" s="112" t="s">
        <v>70</v>
      </c>
      <c r="H86" s="112" t="s">
        <v>49</v>
      </c>
      <c r="J86" s="36"/>
      <c r="K86" s="36"/>
      <c r="L86" s="36"/>
      <c r="M86" s="36"/>
      <c r="N86" s="36">
        <f t="shared" si="4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164</v>
      </c>
      <c r="B87" s="111"/>
      <c r="C87" s="111"/>
      <c r="E87" s="112">
        <v>5</v>
      </c>
      <c r="F87" s="113" t="s">
        <v>12</v>
      </c>
      <c r="G87" s="112" t="s">
        <v>74</v>
      </c>
      <c r="H87" s="112" t="s">
        <v>10</v>
      </c>
      <c r="J87" s="36"/>
      <c r="K87" s="36"/>
      <c r="L87" s="36"/>
      <c r="M87" s="36"/>
      <c r="N87" s="36">
        <f t="shared" si="4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165</v>
      </c>
      <c r="B88" s="111"/>
      <c r="C88" s="111"/>
      <c r="E88" s="112">
        <v>5</v>
      </c>
      <c r="F88" s="113" t="s">
        <v>12</v>
      </c>
      <c r="G88" s="112" t="s">
        <v>74</v>
      </c>
      <c r="H88" s="112" t="s">
        <v>15</v>
      </c>
      <c r="J88" s="36"/>
      <c r="K88" s="36"/>
      <c r="L88" s="36"/>
      <c r="M88" s="36"/>
      <c r="N88" s="36">
        <f t="shared" si="4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166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17</v>
      </c>
      <c r="J89" s="36"/>
      <c r="K89" s="36"/>
      <c r="L89" s="36"/>
      <c r="M89" s="36"/>
      <c r="N89" s="36">
        <f t="shared" si="4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167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8</v>
      </c>
      <c r="J90" s="36"/>
      <c r="K90" s="36"/>
      <c r="L90" s="36"/>
      <c r="M90" s="36"/>
      <c r="N90" s="36">
        <f t="shared" si="4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168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45</v>
      </c>
      <c r="J91" s="36"/>
      <c r="K91" s="36"/>
      <c r="L91" s="36"/>
      <c r="M91" s="36"/>
      <c r="N91" s="36">
        <f t="shared" si="4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73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64</v>
      </c>
      <c r="J92" s="36"/>
      <c r="K92" s="36"/>
      <c r="L92" s="36"/>
      <c r="M92" s="36"/>
      <c r="N92" s="36">
        <f t="shared" si="4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75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19</v>
      </c>
      <c r="J93" s="36"/>
      <c r="K93" s="36"/>
      <c r="L93" s="36"/>
      <c r="M93" s="36"/>
      <c r="N93" s="36">
        <f t="shared" si="4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76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60</v>
      </c>
      <c r="J94" s="36"/>
      <c r="K94" s="36"/>
      <c r="L94" s="36"/>
      <c r="M94" s="36"/>
      <c r="N94" s="36">
        <f t="shared" si="4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77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49</v>
      </c>
      <c r="J95" s="36"/>
      <c r="K95" s="36"/>
      <c r="L95" s="36"/>
      <c r="M95" s="36"/>
      <c r="N95" s="36">
        <f t="shared" si="4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165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15</v>
      </c>
      <c r="J96" s="36"/>
      <c r="K96" s="36"/>
      <c r="L96" s="36"/>
      <c r="M96" s="36"/>
      <c r="N96" s="36">
        <f t="shared" si="4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78</v>
      </c>
      <c r="B97" s="111"/>
      <c r="C97" s="111"/>
      <c r="E97" s="112">
        <v>5</v>
      </c>
      <c r="F97" s="113" t="s">
        <v>12</v>
      </c>
      <c r="G97" s="112" t="s">
        <v>79</v>
      </c>
      <c r="H97" s="112" t="s">
        <v>10</v>
      </c>
      <c r="J97" s="36"/>
      <c r="K97" s="36"/>
      <c r="L97" s="36"/>
      <c r="M97" s="36"/>
      <c r="N97" s="36">
        <f t="shared" si="4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80</v>
      </c>
      <c r="B98" s="111"/>
      <c r="C98" s="111"/>
      <c r="E98" s="112">
        <v>5</v>
      </c>
      <c r="F98" s="113" t="s">
        <v>12</v>
      </c>
      <c r="G98" s="112" t="s">
        <v>79</v>
      </c>
      <c r="H98" s="112" t="s">
        <v>15</v>
      </c>
      <c r="J98" s="36"/>
      <c r="K98" s="36"/>
      <c r="L98" s="36"/>
      <c r="M98" s="36"/>
      <c r="N98" s="36">
        <f t="shared" si="4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169</v>
      </c>
      <c r="B99" s="111"/>
      <c r="C99" s="111"/>
      <c r="E99" s="112">
        <v>5</v>
      </c>
      <c r="F99" s="113" t="s">
        <v>12</v>
      </c>
      <c r="G99" s="112" t="s">
        <v>79</v>
      </c>
      <c r="H99" s="113" t="s">
        <v>60</v>
      </c>
      <c r="J99" s="36"/>
      <c r="K99" s="36"/>
      <c r="L99" s="36"/>
      <c r="M99" s="36"/>
      <c r="N99" s="36">
        <f t="shared" si="4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170</v>
      </c>
      <c r="B100" s="111"/>
      <c r="C100" s="111"/>
      <c r="E100" s="112">
        <v>5</v>
      </c>
      <c r="F100" s="113" t="s">
        <v>12</v>
      </c>
      <c r="G100" s="112" t="s">
        <v>79</v>
      </c>
      <c r="H100" s="113" t="s">
        <v>19</v>
      </c>
      <c r="J100" s="36"/>
      <c r="K100" s="36"/>
      <c r="L100" s="36"/>
      <c r="M100" s="36"/>
      <c r="N100" s="36">
        <f t="shared" si="4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171</v>
      </c>
      <c r="B101" s="111"/>
      <c r="C101" s="111"/>
      <c r="E101" s="112">
        <v>5</v>
      </c>
      <c r="F101" s="113" t="s">
        <v>12</v>
      </c>
      <c r="G101" s="112" t="s">
        <v>79</v>
      </c>
      <c r="H101" s="113" t="s">
        <v>82</v>
      </c>
      <c r="J101" s="36"/>
      <c r="K101" s="36"/>
      <c r="L101" s="36"/>
      <c r="M101" s="36"/>
      <c r="N101" s="36">
        <f t="shared" si="4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81</v>
      </c>
      <c r="B102" s="111"/>
      <c r="C102" s="111"/>
      <c r="E102" s="112">
        <v>5</v>
      </c>
      <c r="F102" s="113" t="s">
        <v>12</v>
      </c>
      <c r="G102" s="112" t="s">
        <v>59</v>
      </c>
      <c r="H102" s="113" t="s">
        <v>82</v>
      </c>
      <c r="J102" s="36"/>
      <c r="K102" s="36"/>
      <c r="L102" s="36"/>
      <c r="M102" s="36"/>
      <c r="N102" s="36">
        <f t="shared" si="4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83</v>
      </c>
      <c r="B103" s="111"/>
      <c r="C103" s="111"/>
      <c r="E103" s="112">
        <v>5</v>
      </c>
      <c r="F103" s="113" t="s">
        <v>12</v>
      </c>
      <c r="G103" s="112" t="s">
        <v>84</v>
      </c>
      <c r="H103" s="113" t="s">
        <v>8</v>
      </c>
      <c r="J103" s="36"/>
      <c r="K103" s="36"/>
      <c r="L103" s="36"/>
      <c r="M103" s="36"/>
      <c r="N103" s="36">
        <f t="shared" si="4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85</v>
      </c>
      <c r="B104" s="111"/>
      <c r="C104" s="111"/>
      <c r="E104" s="112">
        <v>5</v>
      </c>
      <c r="F104" s="113" t="s">
        <v>12</v>
      </c>
      <c r="G104" s="112" t="s">
        <v>84</v>
      </c>
      <c r="H104" s="113" t="s">
        <v>10</v>
      </c>
      <c r="J104" s="36"/>
      <c r="K104" s="36"/>
      <c r="L104" s="36"/>
      <c r="M104" s="36"/>
      <c r="N104" s="36">
        <f t="shared" si="4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86</v>
      </c>
      <c r="B105" s="111"/>
      <c r="C105" s="111"/>
      <c r="E105" s="112">
        <v>5</v>
      </c>
      <c r="F105" s="113" t="s">
        <v>12</v>
      </c>
      <c r="G105" s="112" t="s">
        <v>84</v>
      </c>
      <c r="H105" s="113" t="s">
        <v>15</v>
      </c>
      <c r="J105" s="36"/>
      <c r="K105" s="36"/>
      <c r="L105" s="36"/>
      <c r="M105" s="36"/>
      <c r="N105" s="36">
        <f t="shared" si="4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172</v>
      </c>
      <c r="B106" s="111"/>
      <c r="C106" s="111"/>
      <c r="E106" s="112">
        <v>5</v>
      </c>
      <c r="F106" s="113" t="s">
        <v>12</v>
      </c>
      <c r="G106" s="112" t="s">
        <v>174</v>
      </c>
      <c r="H106" s="113" t="s">
        <v>8</v>
      </c>
      <c r="J106" s="36"/>
      <c r="K106" s="36"/>
      <c r="L106" s="36"/>
      <c r="M106" s="36"/>
      <c r="N106" s="36">
        <f t="shared" si="4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173</v>
      </c>
      <c r="B107" s="111"/>
      <c r="C107" s="111"/>
      <c r="E107" s="112">
        <v>5</v>
      </c>
      <c r="F107" s="113" t="s">
        <v>12</v>
      </c>
      <c r="G107" s="112" t="s">
        <v>174</v>
      </c>
      <c r="H107" s="113" t="s">
        <v>10</v>
      </c>
      <c r="J107" s="36"/>
      <c r="K107" s="36"/>
      <c r="L107" s="36"/>
      <c r="M107" s="36"/>
      <c r="N107" s="36">
        <f t="shared" si="4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87</v>
      </c>
      <c r="B108" s="111"/>
      <c r="C108" s="111"/>
      <c r="E108" s="112">
        <v>5</v>
      </c>
      <c r="F108" s="113" t="s">
        <v>12</v>
      </c>
      <c r="G108" s="112" t="s">
        <v>174</v>
      </c>
      <c r="H108" s="113" t="s">
        <v>15</v>
      </c>
      <c r="J108" s="36"/>
      <c r="K108" s="36"/>
      <c r="L108" s="36"/>
      <c r="M108" s="36"/>
      <c r="N108" s="36">
        <f t="shared" si="4"/>
        <v>0</v>
      </c>
      <c r="O108" s="36"/>
      <c r="P108" s="36"/>
      <c r="Q108" s="36"/>
      <c r="R108" s="36"/>
    </row>
    <row r="109" spans="1:18" s="7" customFormat="1" ht="12.75" customHeight="1" x14ac:dyDescent="0.2">
      <c r="A109" s="86" t="s">
        <v>62</v>
      </c>
      <c r="B109" s="111"/>
      <c r="C109" s="111"/>
      <c r="E109" s="112">
        <v>5</v>
      </c>
      <c r="F109" s="113" t="s">
        <v>12</v>
      </c>
      <c r="G109" s="112" t="s">
        <v>59</v>
      </c>
      <c r="H109" s="112" t="s">
        <v>10</v>
      </c>
      <c r="J109" s="36"/>
      <c r="K109" s="36"/>
      <c r="L109" s="36"/>
      <c r="M109" s="36"/>
      <c r="N109" s="36">
        <f t="shared" si="4"/>
        <v>60000</v>
      </c>
      <c r="O109" s="36"/>
      <c r="P109" s="36">
        <v>60000</v>
      </c>
      <c r="Q109" s="36"/>
      <c r="R109" s="185">
        <v>60000</v>
      </c>
    </row>
    <row r="110" spans="1:18" s="7" customFormat="1" ht="12.75" customHeight="1" x14ac:dyDescent="0.2">
      <c r="A110" s="86" t="s">
        <v>260</v>
      </c>
      <c r="B110" s="111"/>
      <c r="C110" s="111"/>
      <c r="E110" s="112">
        <v>5</v>
      </c>
      <c r="F110" s="113" t="s">
        <v>12</v>
      </c>
      <c r="G110" s="134">
        <v>99</v>
      </c>
      <c r="H110" s="135">
        <v>990</v>
      </c>
      <c r="J110" s="36"/>
      <c r="K110" s="36"/>
      <c r="L110" s="36"/>
      <c r="M110" s="36"/>
      <c r="N110" s="36">
        <f t="shared" si="4"/>
        <v>30000</v>
      </c>
      <c r="O110" s="36"/>
      <c r="P110" s="36">
        <v>30000</v>
      </c>
      <c r="Q110" s="36"/>
      <c r="R110" s="186">
        <v>30000</v>
      </c>
    </row>
    <row r="111" spans="1:18" s="7" customFormat="1" ht="18.95" customHeight="1" x14ac:dyDescent="0.2">
      <c r="A111" s="314" t="s">
        <v>191</v>
      </c>
      <c r="B111" s="314"/>
      <c r="C111" s="314"/>
      <c r="J111" s="161">
        <f>SUM(J45:J110)</f>
        <v>67258.790000000008</v>
      </c>
      <c r="K111" s="162"/>
      <c r="L111" s="161">
        <f>SUM(L45:L110)</f>
        <v>0</v>
      </c>
      <c r="M111" s="39"/>
      <c r="N111" s="161">
        <f>SUM(N45:N110)</f>
        <v>153000</v>
      </c>
      <c r="O111" s="39"/>
      <c r="P111" s="161">
        <f>SUM(P45:Q110)</f>
        <v>153000</v>
      </c>
      <c r="Q111" s="39"/>
      <c r="R111" s="161">
        <f>SUM(R45:R110)</f>
        <v>153000</v>
      </c>
    </row>
    <row r="112" spans="1:18" s="7" customFormat="1" ht="6" hidden="1" customHeight="1" x14ac:dyDescent="0.2">
      <c r="A112" s="20"/>
      <c r="B112" s="20"/>
      <c r="C112" s="20"/>
      <c r="J112" s="162"/>
      <c r="K112" s="162"/>
      <c r="L112" s="36"/>
      <c r="M112" s="36"/>
      <c r="N112" s="36"/>
      <c r="O112" s="36"/>
      <c r="P112" s="36"/>
      <c r="Q112" s="36"/>
      <c r="R112" s="36"/>
    </row>
    <row r="113" spans="1:18" s="7" customFormat="1" ht="12" hidden="1" customHeight="1" x14ac:dyDescent="0.2">
      <c r="A113" s="69" t="s">
        <v>189</v>
      </c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 s="7" customFormat="1" ht="12" hidden="1" customHeight="1" x14ac:dyDescent="0.2">
      <c r="A114" s="86" t="s">
        <v>109</v>
      </c>
      <c r="E114" s="112">
        <v>5</v>
      </c>
      <c r="F114" s="113" t="s">
        <v>29</v>
      </c>
      <c r="G114" s="112" t="s">
        <v>7</v>
      </c>
      <c r="H114" s="112" t="s">
        <v>17</v>
      </c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86" t="s">
        <v>180</v>
      </c>
      <c r="E115" s="112">
        <v>5</v>
      </c>
      <c r="F115" s="113" t="s">
        <v>29</v>
      </c>
      <c r="G115" s="112" t="s">
        <v>7</v>
      </c>
      <c r="H115" s="112" t="s">
        <v>64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181</v>
      </c>
      <c r="E116" s="112">
        <v>5</v>
      </c>
      <c r="F116" s="113" t="s">
        <v>29</v>
      </c>
      <c r="G116" s="112" t="s">
        <v>7</v>
      </c>
      <c r="H116" s="114" t="s">
        <v>49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181</v>
      </c>
      <c r="E117" s="112">
        <v>5</v>
      </c>
      <c r="F117" s="113" t="s">
        <v>29</v>
      </c>
      <c r="G117" s="112" t="s">
        <v>7</v>
      </c>
      <c r="H117" s="114" t="s">
        <v>49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182</v>
      </c>
      <c r="E118" s="112">
        <v>5</v>
      </c>
      <c r="F118" s="113" t="s">
        <v>29</v>
      </c>
      <c r="G118" s="112" t="s">
        <v>7</v>
      </c>
      <c r="H118" s="112" t="s">
        <v>10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183</v>
      </c>
      <c r="E120" s="112">
        <v>5</v>
      </c>
      <c r="F120" s="113" t="s">
        <v>29</v>
      </c>
      <c r="G120" s="112" t="s">
        <v>7</v>
      </c>
      <c r="H120" s="112" t="s">
        <v>8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184</v>
      </c>
      <c r="E121" s="112">
        <v>5</v>
      </c>
      <c r="F121" s="113" t="s">
        <v>29</v>
      </c>
      <c r="G121" s="112" t="s">
        <v>7</v>
      </c>
      <c r="H121" s="112" t="s">
        <v>15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8.95" hidden="1" customHeight="1" x14ac:dyDescent="0.2">
      <c r="A122" s="63" t="s">
        <v>185</v>
      </c>
      <c r="J122" s="171">
        <f>SUM(J114:J121)</f>
        <v>0</v>
      </c>
      <c r="K122" s="172"/>
      <c r="L122" s="171">
        <f>SUM(L114:L121)</f>
        <v>0</v>
      </c>
      <c r="M122" s="172"/>
      <c r="N122" s="171">
        <f>SUM(N114:N121)</f>
        <v>0</v>
      </c>
      <c r="O122" s="172"/>
      <c r="P122" s="171">
        <f>SUM(P114:P121)</f>
        <v>0</v>
      </c>
      <c r="Q122" s="172"/>
      <c r="R122" s="171">
        <f>SUM(R114:R121)</f>
        <v>0</v>
      </c>
    </row>
    <row r="123" spans="1:18" s="7" customFormat="1" ht="6" customHeight="1" x14ac:dyDescent="0.2"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2.75" hidden="1" customHeight="1" x14ac:dyDescent="0.2">
      <c r="A124" s="68" t="s">
        <v>190</v>
      </c>
      <c r="B124" s="11"/>
      <c r="C124" s="11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2.75" hidden="1" customHeight="1" x14ac:dyDescent="0.2">
      <c r="A125" s="11" t="s">
        <v>89</v>
      </c>
      <c r="B125" s="24"/>
      <c r="C125" s="24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hidden="1" customHeight="1" x14ac:dyDescent="0.2">
      <c r="A126" s="70" t="s">
        <v>90</v>
      </c>
      <c r="B126" s="9"/>
      <c r="C126" s="9"/>
      <c r="E126" s="112">
        <v>1</v>
      </c>
      <c r="F126" s="113" t="s">
        <v>12</v>
      </c>
      <c r="G126" s="112" t="s">
        <v>54</v>
      </c>
      <c r="H126" s="114" t="s">
        <v>10</v>
      </c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86" t="s">
        <v>92</v>
      </c>
      <c r="B127" s="111"/>
      <c r="C127" s="111"/>
      <c r="E127" s="112">
        <v>1</v>
      </c>
      <c r="F127" s="113" t="s">
        <v>93</v>
      </c>
      <c r="G127" s="112" t="s">
        <v>7</v>
      </c>
      <c r="H127" s="112" t="s">
        <v>8</v>
      </c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86" t="s">
        <v>94</v>
      </c>
      <c r="B128" s="111"/>
      <c r="C128" s="111"/>
      <c r="E128" s="112">
        <v>1</v>
      </c>
      <c r="F128" s="113" t="s">
        <v>93</v>
      </c>
      <c r="G128" s="112" t="s">
        <v>34</v>
      </c>
      <c r="H128" s="112" t="s">
        <v>8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95</v>
      </c>
      <c r="B129" s="116"/>
      <c r="C129" s="116"/>
      <c r="E129" s="112">
        <v>1</v>
      </c>
      <c r="F129" s="113" t="s">
        <v>93</v>
      </c>
      <c r="G129" s="112" t="s">
        <v>34</v>
      </c>
      <c r="H129" s="112" t="s">
        <v>49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96</v>
      </c>
      <c r="B130" s="116"/>
      <c r="C130" s="116"/>
      <c r="D130" s="113"/>
      <c r="E130" s="112">
        <v>1</v>
      </c>
      <c r="F130" s="113" t="s">
        <v>93</v>
      </c>
      <c r="G130" s="112" t="s">
        <v>54</v>
      </c>
      <c r="H130" s="112" t="s">
        <v>10</v>
      </c>
      <c r="J130" s="36">
        <v>0</v>
      </c>
      <c r="K130" s="36"/>
      <c r="L130" s="36"/>
      <c r="M130" s="36"/>
      <c r="N130" s="36">
        <f t="shared" ref="N130:N131" si="5">P130-L130</f>
        <v>0</v>
      </c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97</v>
      </c>
      <c r="B131" s="111"/>
      <c r="C131" s="111"/>
      <c r="E131" s="112">
        <v>1</v>
      </c>
      <c r="F131" s="113" t="s">
        <v>93</v>
      </c>
      <c r="G131" s="112" t="s">
        <v>93</v>
      </c>
      <c r="H131" s="112" t="s">
        <v>8</v>
      </c>
      <c r="J131" s="36">
        <v>0</v>
      </c>
      <c r="K131" s="36"/>
      <c r="L131" s="36"/>
      <c r="M131" s="36"/>
      <c r="N131" s="36">
        <f t="shared" si="5"/>
        <v>0</v>
      </c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99</v>
      </c>
      <c r="B132" s="116"/>
      <c r="C132" s="116"/>
      <c r="D132" s="113"/>
      <c r="E132" s="112">
        <v>1</v>
      </c>
      <c r="F132" s="113" t="s">
        <v>93</v>
      </c>
      <c r="G132" s="112" t="s">
        <v>93</v>
      </c>
      <c r="H132" s="112" t="s">
        <v>10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hidden="1" customHeight="1" x14ac:dyDescent="0.2">
      <c r="A133" s="86" t="s">
        <v>100</v>
      </c>
      <c r="B133" s="111"/>
      <c r="C133" s="111"/>
      <c r="E133" s="112">
        <v>1</v>
      </c>
      <c r="F133" s="113" t="s">
        <v>93</v>
      </c>
      <c r="G133" s="112" t="s">
        <v>54</v>
      </c>
      <c r="H133" s="112" t="s">
        <v>19</v>
      </c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hidden="1" customHeight="1" x14ac:dyDescent="0.2">
      <c r="A134" s="86" t="s">
        <v>175</v>
      </c>
      <c r="B134" s="111"/>
      <c r="C134" s="111"/>
      <c r="E134" s="112">
        <v>1</v>
      </c>
      <c r="F134" s="113" t="s">
        <v>93</v>
      </c>
      <c r="G134" s="112" t="s">
        <v>54</v>
      </c>
      <c r="H134" s="112" t="s">
        <v>82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hidden="1" customHeight="1" x14ac:dyDescent="0.2">
      <c r="A135" s="86" t="s">
        <v>176</v>
      </c>
      <c r="B135" s="111"/>
      <c r="C135" s="111"/>
      <c r="E135" s="112">
        <v>1</v>
      </c>
      <c r="F135" s="113" t="s">
        <v>93</v>
      </c>
      <c r="G135" s="112" t="s">
        <v>54</v>
      </c>
      <c r="H135" s="112" t="s">
        <v>45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hidden="1" customHeight="1" x14ac:dyDescent="0.2">
      <c r="A136" s="86" t="s">
        <v>177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146</v>
      </c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101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102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103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24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104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28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105</v>
      </c>
      <c r="B140" s="111"/>
      <c r="C140" s="111"/>
      <c r="D140" s="113"/>
      <c r="E140" s="112">
        <v>1</v>
      </c>
      <c r="F140" s="113" t="s">
        <v>93</v>
      </c>
      <c r="G140" s="112" t="s">
        <v>54</v>
      </c>
      <c r="H140" s="114" t="s">
        <v>49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106</v>
      </c>
      <c r="B141" s="111"/>
      <c r="C141" s="111"/>
      <c r="D141" s="113"/>
      <c r="E141" s="112">
        <v>1</v>
      </c>
      <c r="F141" s="113" t="s">
        <v>93</v>
      </c>
      <c r="G141" s="112" t="s">
        <v>67</v>
      </c>
      <c r="H141" s="112" t="s">
        <v>8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107</v>
      </c>
      <c r="B142" s="111"/>
      <c r="C142" s="111"/>
      <c r="D142" s="113"/>
      <c r="E142" s="112">
        <v>1</v>
      </c>
      <c r="F142" s="113" t="s">
        <v>93</v>
      </c>
      <c r="G142" s="112" t="s">
        <v>59</v>
      </c>
      <c r="H142" s="114" t="s">
        <v>49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178</v>
      </c>
      <c r="B143" s="111"/>
      <c r="C143" s="111"/>
      <c r="D143" s="113"/>
      <c r="E143" s="112">
        <v>1</v>
      </c>
      <c r="F143" s="113" t="s">
        <v>93</v>
      </c>
      <c r="G143" s="112" t="s">
        <v>29</v>
      </c>
      <c r="H143" s="112" t="s">
        <v>8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179</v>
      </c>
      <c r="B144" s="111"/>
      <c r="C144" s="111"/>
      <c r="D144" s="113"/>
      <c r="E144" s="112">
        <v>1</v>
      </c>
      <c r="F144" s="113" t="s">
        <v>93</v>
      </c>
      <c r="G144" s="112" t="s">
        <v>29</v>
      </c>
      <c r="H144" s="112" t="s">
        <v>45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27" customFormat="1" ht="18.95" hidden="1" customHeight="1" x14ac:dyDescent="0.2">
      <c r="A145" s="63" t="s">
        <v>108</v>
      </c>
      <c r="B145" s="26"/>
      <c r="C145" s="26"/>
      <c r="J145" s="21">
        <f>SUM(J127:J144)</f>
        <v>0</v>
      </c>
      <c r="K145" s="23"/>
      <c r="L145" s="21">
        <f>SUM(L127:L140)</f>
        <v>0</v>
      </c>
      <c r="M145" s="172"/>
      <c r="N145" s="21">
        <f>SUM(N127:N140)</f>
        <v>0</v>
      </c>
      <c r="O145" s="172"/>
      <c r="P145" s="21">
        <f>SUM(P127:P140)</f>
        <v>0</v>
      </c>
      <c r="Q145" s="172"/>
      <c r="R145" s="21">
        <f>SUM(R130:R144)</f>
        <v>0</v>
      </c>
    </row>
    <row r="146" spans="1:18" s="7" customFormat="1" ht="6" hidden="1" customHeight="1" x14ac:dyDescent="0.2"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20.100000000000001" customHeight="1" thickBot="1" x14ac:dyDescent="0.25">
      <c r="A147" s="11" t="s">
        <v>110</v>
      </c>
      <c r="B147" s="28"/>
      <c r="C147" s="28"/>
      <c r="J147" s="29">
        <f>J42+J111+J122+J145</f>
        <v>16293610.799999997</v>
      </c>
      <c r="K147" s="23"/>
      <c r="L147" s="29">
        <f>L42+L111+L122+L145</f>
        <v>8796835.5999999996</v>
      </c>
      <c r="M147" s="36"/>
      <c r="N147" s="29">
        <f>N42+N111+N122+N145</f>
        <v>14645050.859999999</v>
      </c>
      <c r="O147" s="36"/>
      <c r="P147" s="29">
        <f>P42+P111+P122+P145</f>
        <v>23441886.460000001</v>
      </c>
      <c r="Q147" s="36"/>
      <c r="R147" s="29">
        <f>R42+R111+R122+R145</f>
        <v>23770206.77</v>
      </c>
    </row>
    <row r="148" spans="1:18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35"/>
      <c r="K148" s="35"/>
      <c r="L148" s="35"/>
      <c r="M148" s="35"/>
    </row>
    <row r="149" spans="1:18" s="7" customFormat="1" x14ac:dyDescent="0.2"/>
    <row r="150" spans="1:18" s="7" customFormat="1" x14ac:dyDescent="0.2"/>
    <row r="151" spans="1:18" x14ac:dyDescent="0.2">
      <c r="A151" s="321" t="s">
        <v>133</v>
      </c>
      <c r="B151" s="321"/>
      <c r="C151" s="321"/>
      <c r="D151" s="33"/>
      <c r="E151" s="32"/>
      <c r="G151" s="31"/>
      <c r="I151" s="31"/>
      <c r="J151" s="321" t="s">
        <v>276</v>
      </c>
      <c r="K151" s="321"/>
      <c r="L151" s="321"/>
      <c r="M151" s="47"/>
      <c r="N151" s="49"/>
      <c r="O151" s="49"/>
      <c r="P151" s="311" t="s">
        <v>135</v>
      </c>
      <c r="Q151" s="311"/>
      <c r="R151" s="311"/>
    </row>
    <row r="152" spans="1:18" x14ac:dyDescent="0.2">
      <c r="A152" s="50"/>
      <c r="D152" s="33"/>
      <c r="E152" s="51"/>
      <c r="G152" s="31"/>
      <c r="I152" s="31"/>
      <c r="J152" s="168"/>
      <c r="M152" s="30"/>
      <c r="N152" s="36"/>
      <c r="O152" s="36"/>
      <c r="P152" s="51"/>
    </row>
    <row r="153" spans="1:18" x14ac:dyDescent="0.2">
      <c r="A153" s="50"/>
      <c r="D153" s="33"/>
      <c r="E153" s="51"/>
      <c r="G153" s="31"/>
      <c r="I153" s="31"/>
      <c r="J153" s="168"/>
      <c r="M153" s="95"/>
      <c r="N153" s="36"/>
      <c r="O153" s="36"/>
      <c r="P153" s="51"/>
    </row>
    <row r="154" spans="1:18" x14ac:dyDescent="0.2">
      <c r="A154" s="52"/>
      <c r="D154" s="31"/>
      <c r="E154" s="53"/>
      <c r="G154" s="31"/>
      <c r="I154" s="31"/>
      <c r="J154" s="31"/>
      <c r="M154" s="31"/>
      <c r="P154" s="53"/>
    </row>
    <row r="155" spans="1:18" x14ac:dyDescent="0.2">
      <c r="A155" s="322" t="s">
        <v>293</v>
      </c>
      <c r="B155" s="322"/>
      <c r="C155" s="322"/>
      <c r="D155" s="55"/>
      <c r="E155" s="56"/>
      <c r="G155" s="31"/>
      <c r="I155" s="31"/>
      <c r="J155" s="322" t="s">
        <v>291</v>
      </c>
      <c r="K155" s="322"/>
      <c r="L155" s="322"/>
      <c r="M155" s="57"/>
      <c r="N155" s="59"/>
      <c r="O155" s="59"/>
      <c r="P155" s="312" t="s">
        <v>137</v>
      </c>
      <c r="Q155" s="312"/>
      <c r="R155" s="312"/>
    </row>
    <row r="156" spans="1:18" x14ac:dyDescent="0.2">
      <c r="A156" s="321" t="s">
        <v>301</v>
      </c>
      <c r="B156" s="321"/>
      <c r="C156" s="321"/>
      <c r="D156" s="31"/>
      <c r="E156" s="32"/>
      <c r="G156" s="31"/>
      <c r="I156" s="31"/>
      <c r="J156" s="321" t="s">
        <v>269</v>
      </c>
      <c r="K156" s="321"/>
      <c r="L156" s="321"/>
      <c r="M156" s="33"/>
      <c r="N156" s="35"/>
      <c r="O156" s="35"/>
      <c r="P156" s="313" t="s">
        <v>139</v>
      </c>
      <c r="Q156" s="313"/>
      <c r="R156" s="313"/>
    </row>
  </sheetData>
  <customSheetViews>
    <customSheetView guid="{1998FCB8-1FEB-4076-ACE6-A225EE4366B3}" showPageBreaks="1" printArea="1" hiddenRows="1" view="pageBreakPreview">
      <pane xSplit="1" ySplit="14" topLeftCell="B47" activePane="bottomRight" state="frozen"/>
      <selection pane="bottomRight" activeCell="S34" sqref="S34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2" activePane="bottomRight" state="frozen"/>
      <selection pane="bottomRight" activeCell="A42" sqref="A42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1" activePane="bottomRight" state="frozen"/>
      <selection pane="bottomRight" activeCell="R109" sqref="R109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2" activePane="bottomRight" state="frozen"/>
      <selection pane="bottomRight" activeCell="R110" sqref="R110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1:R151"/>
    <mergeCell ref="P155:R155"/>
    <mergeCell ref="P156:R156"/>
    <mergeCell ref="A151:C151"/>
    <mergeCell ref="A155:C155"/>
    <mergeCell ref="A156:C156"/>
    <mergeCell ref="J151:L151"/>
    <mergeCell ref="J155:L155"/>
    <mergeCell ref="J156:L156"/>
    <mergeCell ref="A13:C13"/>
    <mergeCell ref="E13:H13"/>
    <mergeCell ref="A111:C111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5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2"/>
  <sheetViews>
    <sheetView view="pageBreakPreview" zoomScaleNormal="85" zoomScaleSheetLayoutView="100" workbookViewId="0">
      <pane xSplit="1" ySplit="14" topLeftCell="B114" activePane="bottomRight" state="frozen"/>
      <selection pane="topRight" activeCell="B1" sqref="B1"/>
      <selection pane="bottomLeft" activeCell="A15" sqref="A15"/>
      <selection pane="bottomRight" activeCell="R154" sqref="R15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77734375" style="1" customWidth="1"/>
    <col min="21" max="21" width="16.109375" style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207</v>
      </c>
      <c r="H4" s="3"/>
      <c r="I4" s="3"/>
      <c r="R4" s="77">
        <v>1091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32">
        <v>5</v>
      </c>
      <c r="F16" s="143" t="s">
        <v>7</v>
      </c>
      <c r="G16" s="32" t="s">
        <v>7</v>
      </c>
      <c r="H16" s="32" t="s">
        <v>8</v>
      </c>
      <c r="I16" s="32"/>
      <c r="J16" s="88">
        <v>19917052.98</v>
      </c>
      <c r="K16" s="88"/>
      <c r="L16" s="49">
        <v>9594844.1099999994</v>
      </c>
      <c r="M16" s="49"/>
      <c r="N16" s="49">
        <f t="shared" ref="N16:N21" si="0">P16-L16</f>
        <v>12701935.150000002</v>
      </c>
      <c r="O16" s="49"/>
      <c r="P16" s="49">
        <v>22296779.260000002</v>
      </c>
      <c r="Q16" s="49"/>
      <c r="R16" s="49">
        <v>23516881.48</v>
      </c>
    </row>
    <row r="17" spans="1:18" s="7" customFormat="1" ht="12.75" hidden="1" customHeight="1" x14ac:dyDescent="0.2">
      <c r="A17" s="130" t="s">
        <v>9</v>
      </c>
      <c r="B17" s="131"/>
      <c r="C17" s="131"/>
      <c r="E17" s="32">
        <v>5</v>
      </c>
      <c r="F17" s="143" t="s">
        <v>7</v>
      </c>
      <c r="G17" s="32" t="s">
        <v>7</v>
      </c>
      <c r="H17" s="32" t="s">
        <v>10</v>
      </c>
      <c r="I17" s="100"/>
      <c r="J17" s="49"/>
      <c r="K17" s="49"/>
      <c r="L17" s="49"/>
      <c r="M17" s="49"/>
      <c r="N17" s="49">
        <f t="shared" si="0"/>
        <v>0</v>
      </c>
      <c r="O17" s="49"/>
      <c r="P17" s="49"/>
      <c r="Q17" s="49"/>
      <c r="R17" s="49"/>
    </row>
    <row r="18" spans="1:18" s="7" customFormat="1" ht="12.75" customHeight="1" x14ac:dyDescent="0.2">
      <c r="A18" s="86" t="s">
        <v>11</v>
      </c>
      <c r="B18" s="111"/>
      <c r="C18" s="111"/>
      <c r="D18" s="112"/>
      <c r="E18" s="32">
        <v>5</v>
      </c>
      <c r="F18" s="143" t="s">
        <v>7</v>
      </c>
      <c r="G18" s="32" t="s">
        <v>12</v>
      </c>
      <c r="H18" s="32" t="s">
        <v>8</v>
      </c>
      <c r="I18" s="100"/>
      <c r="J18" s="88">
        <v>1573216.37</v>
      </c>
      <c r="K18" s="88"/>
      <c r="L18" s="49">
        <v>766890.91</v>
      </c>
      <c r="M18" s="49"/>
      <c r="N18" s="49">
        <f t="shared" si="0"/>
        <v>1071109.0899999999</v>
      </c>
      <c r="O18" s="49"/>
      <c r="P18" s="49">
        <v>1838000</v>
      </c>
      <c r="Q18" s="49"/>
      <c r="R18" s="49">
        <v>1848000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32">
        <v>5</v>
      </c>
      <c r="F19" s="143" t="s">
        <v>7</v>
      </c>
      <c r="G19" s="32" t="s">
        <v>12</v>
      </c>
      <c r="H19" s="32" t="s">
        <v>10</v>
      </c>
      <c r="I19" s="100"/>
      <c r="J19" s="88">
        <v>188250</v>
      </c>
      <c r="K19" s="88"/>
      <c r="L19" s="49">
        <v>96000</v>
      </c>
      <c r="M19" s="49"/>
      <c r="N19" s="49">
        <f t="shared" si="0"/>
        <v>96000</v>
      </c>
      <c r="O19" s="49"/>
      <c r="P19" s="49">
        <v>192000</v>
      </c>
      <c r="Q19" s="49"/>
      <c r="R19" s="49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32">
        <v>5</v>
      </c>
      <c r="F20" s="143" t="s">
        <v>7</v>
      </c>
      <c r="G20" s="32" t="s">
        <v>12</v>
      </c>
      <c r="H20" s="32" t="s">
        <v>15</v>
      </c>
      <c r="I20" s="100"/>
      <c r="J20" s="88">
        <v>86250</v>
      </c>
      <c r="K20" s="88"/>
      <c r="L20" s="49">
        <v>45000</v>
      </c>
      <c r="M20" s="49"/>
      <c r="N20" s="49">
        <f t="shared" si="0"/>
        <v>70500</v>
      </c>
      <c r="O20" s="49"/>
      <c r="P20" s="49">
        <v>115500</v>
      </c>
      <c r="Q20" s="49"/>
      <c r="R20" s="49">
        <v>115500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32">
        <v>5</v>
      </c>
      <c r="F21" s="143" t="s">
        <v>7</v>
      </c>
      <c r="G21" s="32" t="s">
        <v>12</v>
      </c>
      <c r="H21" s="32" t="s">
        <v>17</v>
      </c>
      <c r="I21" s="100"/>
      <c r="J21" s="88">
        <v>396000</v>
      </c>
      <c r="K21" s="88"/>
      <c r="L21" s="49">
        <v>378000</v>
      </c>
      <c r="M21" s="49"/>
      <c r="N21" s="49">
        <f t="shared" si="0"/>
        <v>84000</v>
      </c>
      <c r="O21" s="49"/>
      <c r="P21" s="49">
        <v>462000</v>
      </c>
      <c r="Q21" s="49"/>
      <c r="R21" s="49">
        <v>462000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32">
        <v>5</v>
      </c>
      <c r="F22" s="143" t="s">
        <v>7</v>
      </c>
      <c r="G22" s="32" t="s">
        <v>12</v>
      </c>
      <c r="H22" s="32" t="s">
        <v>64</v>
      </c>
      <c r="I22" s="100"/>
      <c r="J22" s="88"/>
      <c r="K22" s="88"/>
      <c r="L22" s="49"/>
      <c r="M22" s="49"/>
      <c r="N22" s="49"/>
      <c r="O22" s="49"/>
      <c r="P22" s="49"/>
      <c r="Q22" s="49"/>
      <c r="R22" s="49"/>
    </row>
    <row r="23" spans="1:18" s="7" customFormat="1" ht="12.75" hidden="1" customHeight="1" x14ac:dyDescent="0.2">
      <c r="A23" s="86" t="s">
        <v>143</v>
      </c>
      <c r="B23" s="111"/>
      <c r="C23" s="111"/>
      <c r="E23" s="32">
        <v>5</v>
      </c>
      <c r="F23" s="143" t="s">
        <v>7</v>
      </c>
      <c r="G23" s="32" t="s">
        <v>12</v>
      </c>
      <c r="H23" s="32" t="s">
        <v>45</v>
      </c>
      <c r="I23" s="100"/>
      <c r="J23" s="88"/>
      <c r="K23" s="88"/>
      <c r="L23" s="49"/>
      <c r="M23" s="49"/>
      <c r="N23" s="49"/>
      <c r="O23" s="49"/>
      <c r="P23" s="49"/>
      <c r="Q23" s="49"/>
      <c r="R23" s="49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32">
        <v>5</v>
      </c>
      <c r="F24" s="143" t="s">
        <v>7</v>
      </c>
      <c r="G24" s="32" t="s">
        <v>12</v>
      </c>
      <c r="H24" s="32" t="s">
        <v>60</v>
      </c>
      <c r="I24" s="100"/>
      <c r="J24" s="88"/>
      <c r="K24" s="88"/>
      <c r="L24" s="49"/>
      <c r="M24" s="49"/>
      <c r="N24" s="49">
        <f t="shared" ref="N24:N36" si="1">P24-L24</f>
        <v>0</v>
      </c>
      <c r="O24" s="49"/>
      <c r="P24" s="49"/>
      <c r="Q24" s="49"/>
      <c r="R24" s="49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32">
        <v>5</v>
      </c>
      <c r="F25" s="143" t="s">
        <v>7</v>
      </c>
      <c r="G25" s="32" t="s">
        <v>12</v>
      </c>
      <c r="H25" s="32" t="s">
        <v>19</v>
      </c>
      <c r="I25" s="100"/>
      <c r="J25" s="88"/>
      <c r="K25" s="88"/>
      <c r="L25" s="49"/>
      <c r="M25" s="49"/>
      <c r="N25" s="49">
        <f t="shared" si="1"/>
        <v>0</v>
      </c>
      <c r="O25" s="49"/>
      <c r="P25" s="49"/>
      <c r="Q25" s="49"/>
      <c r="R25" s="49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32">
        <v>5</v>
      </c>
      <c r="F26" s="143" t="s">
        <v>7</v>
      </c>
      <c r="G26" s="32" t="s">
        <v>12</v>
      </c>
      <c r="H26" s="32" t="s">
        <v>102</v>
      </c>
      <c r="I26" s="100"/>
      <c r="J26" s="88"/>
      <c r="K26" s="88"/>
      <c r="L26" s="49"/>
      <c r="M26" s="49"/>
      <c r="N26" s="49">
        <f t="shared" si="1"/>
        <v>0</v>
      </c>
      <c r="O26" s="49"/>
      <c r="P26" s="49"/>
      <c r="Q26" s="49"/>
      <c r="R26" s="49"/>
    </row>
    <row r="27" spans="1:18" s="7" customFormat="1" ht="12.75" customHeight="1" x14ac:dyDescent="0.2">
      <c r="A27" s="86" t="s">
        <v>22</v>
      </c>
      <c r="B27" s="111"/>
      <c r="C27" s="111"/>
      <c r="D27" s="112"/>
      <c r="E27" s="32">
        <v>5</v>
      </c>
      <c r="F27" s="143" t="s">
        <v>7</v>
      </c>
      <c r="G27" s="32" t="s">
        <v>12</v>
      </c>
      <c r="H27" s="140" t="s">
        <v>146</v>
      </c>
      <c r="I27" s="100"/>
      <c r="J27" s="88"/>
      <c r="K27" s="88"/>
      <c r="L27" s="49">
        <v>229500</v>
      </c>
      <c r="M27" s="49"/>
      <c r="N27" s="49">
        <f t="shared" si="1"/>
        <v>2500</v>
      </c>
      <c r="O27" s="49"/>
      <c r="P27" s="49">
        <v>232000</v>
      </c>
      <c r="Q27" s="49"/>
      <c r="R27" s="49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32">
        <v>5</v>
      </c>
      <c r="F28" s="143" t="s">
        <v>7</v>
      </c>
      <c r="G28" s="32" t="s">
        <v>12</v>
      </c>
      <c r="H28" s="140" t="s">
        <v>47</v>
      </c>
      <c r="I28" s="100"/>
      <c r="J28" s="49"/>
      <c r="K28" s="49"/>
      <c r="L28" s="49"/>
      <c r="M28" s="49"/>
      <c r="N28" s="49">
        <f t="shared" si="1"/>
        <v>0</v>
      </c>
      <c r="O28" s="49"/>
      <c r="P28" s="49"/>
      <c r="Q28" s="49"/>
      <c r="R28" s="49"/>
    </row>
    <row r="29" spans="1:18" s="7" customFormat="1" ht="12.75" customHeight="1" x14ac:dyDescent="0.2">
      <c r="A29" s="86" t="s">
        <v>23</v>
      </c>
      <c r="B29" s="111"/>
      <c r="C29" s="111"/>
      <c r="D29" s="112"/>
      <c r="E29" s="32">
        <v>5</v>
      </c>
      <c r="F29" s="143" t="s">
        <v>7</v>
      </c>
      <c r="G29" s="32" t="s">
        <v>12</v>
      </c>
      <c r="H29" s="140" t="s">
        <v>24</v>
      </c>
      <c r="I29" s="100"/>
      <c r="J29" s="49">
        <v>101001.11</v>
      </c>
      <c r="K29" s="49"/>
      <c r="L29" s="49"/>
      <c r="M29" s="49"/>
      <c r="N29" s="49">
        <f t="shared" si="1"/>
        <v>250000</v>
      </c>
      <c r="O29" s="49"/>
      <c r="P29" s="49">
        <v>250000</v>
      </c>
      <c r="Q29" s="49"/>
      <c r="R29" s="49">
        <v>250000</v>
      </c>
    </row>
    <row r="30" spans="1:18" s="7" customFormat="1" ht="12.75" customHeight="1" x14ac:dyDescent="0.2">
      <c r="A30" s="86" t="s">
        <v>27</v>
      </c>
      <c r="B30" s="111"/>
      <c r="C30" s="111"/>
      <c r="D30" s="112"/>
      <c r="E30" s="32">
        <v>5</v>
      </c>
      <c r="F30" s="143" t="s">
        <v>7</v>
      </c>
      <c r="G30" s="32" t="s">
        <v>12</v>
      </c>
      <c r="H30" s="140" t="s">
        <v>28</v>
      </c>
      <c r="I30" s="100"/>
      <c r="J30" s="49">
        <v>1636216</v>
      </c>
      <c r="K30" s="49"/>
      <c r="L30" s="49"/>
      <c r="M30" s="49"/>
      <c r="N30" s="49">
        <f>P30-L30</f>
        <v>1888353</v>
      </c>
      <c r="O30" s="49"/>
      <c r="P30" s="49">
        <v>1888353</v>
      </c>
      <c r="Q30" s="49"/>
      <c r="R30" s="49">
        <v>1963365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32">
        <v>5</v>
      </c>
      <c r="F31" s="143" t="s">
        <v>7</v>
      </c>
      <c r="G31" s="32" t="s">
        <v>12</v>
      </c>
      <c r="H31" s="140" t="s">
        <v>26</v>
      </c>
      <c r="I31" s="100"/>
      <c r="J31" s="49">
        <v>320000</v>
      </c>
      <c r="K31" s="49"/>
      <c r="L31" s="49"/>
      <c r="M31" s="49"/>
      <c r="N31" s="49">
        <f t="shared" si="1"/>
        <v>385000</v>
      </c>
      <c r="O31" s="49"/>
      <c r="P31" s="49">
        <v>385000</v>
      </c>
      <c r="Q31" s="49"/>
      <c r="R31" s="49">
        <v>385000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32">
        <v>5</v>
      </c>
      <c r="F32" s="143" t="s">
        <v>7</v>
      </c>
      <c r="G32" s="32" t="s">
        <v>12</v>
      </c>
      <c r="H32" s="140" t="s">
        <v>49</v>
      </c>
      <c r="I32" s="100"/>
      <c r="J32" s="88">
        <v>1664109</v>
      </c>
      <c r="K32" s="88"/>
      <c r="L32" s="49">
        <v>1600747</v>
      </c>
      <c r="M32" s="49"/>
      <c r="N32" s="49">
        <f t="shared" ref="N32" si="2">P32-L32</f>
        <v>246901</v>
      </c>
      <c r="O32" s="49"/>
      <c r="P32" s="49">
        <v>1847648</v>
      </c>
      <c r="Q32" s="49"/>
      <c r="R32" s="49">
        <v>1963365</v>
      </c>
    </row>
    <row r="33" spans="1:21" s="7" customFormat="1" ht="12.75" customHeight="1" x14ac:dyDescent="0.2">
      <c r="A33" s="86" t="s">
        <v>263</v>
      </c>
      <c r="B33" s="111"/>
      <c r="C33" s="111"/>
      <c r="D33" s="112"/>
      <c r="E33" s="32">
        <v>5</v>
      </c>
      <c r="F33" s="143" t="s">
        <v>7</v>
      </c>
      <c r="G33" s="32" t="s">
        <v>29</v>
      </c>
      <c r="H33" s="32" t="s">
        <v>8</v>
      </c>
      <c r="I33" s="100"/>
      <c r="J33" s="49">
        <v>2390785.2400000002</v>
      </c>
      <c r="K33" s="49"/>
      <c r="L33" s="49">
        <v>1151443.78</v>
      </c>
      <c r="M33" s="49"/>
      <c r="N33" s="49">
        <f t="shared" si="1"/>
        <v>1560304.9400000002</v>
      </c>
      <c r="O33" s="49"/>
      <c r="P33" s="49">
        <v>2711748.72</v>
      </c>
      <c r="Q33" s="49"/>
      <c r="R33" s="49">
        <v>2827245.6</v>
      </c>
    </row>
    <row r="34" spans="1:21" s="7" customFormat="1" ht="12.75" customHeight="1" x14ac:dyDescent="0.2">
      <c r="A34" s="86" t="s">
        <v>30</v>
      </c>
      <c r="B34" s="111"/>
      <c r="C34" s="111"/>
      <c r="D34" s="112"/>
      <c r="E34" s="32">
        <v>5</v>
      </c>
      <c r="F34" s="143" t="s">
        <v>7</v>
      </c>
      <c r="G34" s="32" t="s">
        <v>29</v>
      </c>
      <c r="H34" s="32" t="s">
        <v>10</v>
      </c>
      <c r="I34" s="100"/>
      <c r="J34" s="49">
        <v>78600</v>
      </c>
      <c r="K34" s="49"/>
      <c r="L34" s="49">
        <v>38300</v>
      </c>
      <c r="M34" s="49"/>
      <c r="N34" s="49">
        <f t="shared" si="1"/>
        <v>53600</v>
      </c>
      <c r="O34" s="49"/>
      <c r="P34" s="49">
        <v>91900</v>
      </c>
      <c r="Q34" s="49"/>
      <c r="R34" s="49">
        <v>92400</v>
      </c>
    </row>
    <row r="35" spans="1:21" s="7" customFormat="1" ht="12.75" customHeight="1" x14ac:dyDescent="0.2">
      <c r="A35" s="86" t="s">
        <v>31</v>
      </c>
      <c r="B35" s="111"/>
      <c r="C35" s="111"/>
      <c r="D35" s="112"/>
      <c r="E35" s="32">
        <v>5</v>
      </c>
      <c r="F35" s="143" t="s">
        <v>7</v>
      </c>
      <c r="G35" s="32" t="s">
        <v>29</v>
      </c>
      <c r="H35" s="32" t="s">
        <v>15</v>
      </c>
      <c r="I35" s="100"/>
      <c r="J35" s="49">
        <v>231786.25</v>
      </c>
      <c r="K35" s="49"/>
      <c r="L35" s="49">
        <v>132952.46</v>
      </c>
      <c r="M35" s="49"/>
      <c r="N35" s="49">
        <f t="shared" si="1"/>
        <v>166855.79</v>
      </c>
      <c r="O35" s="49"/>
      <c r="P35" s="49">
        <v>299808.25</v>
      </c>
      <c r="Q35" s="49"/>
      <c r="R35" s="49">
        <v>395729.46</v>
      </c>
    </row>
    <row r="36" spans="1:21" s="7" customFormat="1" ht="12.75" customHeight="1" x14ac:dyDescent="0.2">
      <c r="A36" s="86" t="s">
        <v>32</v>
      </c>
      <c r="B36" s="111"/>
      <c r="C36" s="111"/>
      <c r="D36" s="112"/>
      <c r="E36" s="32">
        <v>5</v>
      </c>
      <c r="F36" s="143" t="s">
        <v>7</v>
      </c>
      <c r="G36" s="32" t="s">
        <v>29</v>
      </c>
      <c r="H36" s="32" t="s">
        <v>17</v>
      </c>
      <c r="I36" s="100"/>
      <c r="J36" s="49">
        <v>78600</v>
      </c>
      <c r="K36" s="49"/>
      <c r="L36" s="49">
        <v>38300</v>
      </c>
      <c r="M36" s="49"/>
      <c r="N36" s="49">
        <f t="shared" si="1"/>
        <v>53600</v>
      </c>
      <c r="O36" s="49"/>
      <c r="P36" s="49">
        <v>91900</v>
      </c>
      <c r="Q36" s="49"/>
      <c r="R36" s="49">
        <v>92400</v>
      </c>
    </row>
    <row r="37" spans="1:21" s="7" customFormat="1" ht="12.75" hidden="1" customHeight="1" x14ac:dyDescent="0.2">
      <c r="A37" s="86" t="s">
        <v>147</v>
      </c>
      <c r="B37" s="111"/>
      <c r="C37" s="111"/>
      <c r="D37" s="112"/>
      <c r="E37" s="32">
        <v>5</v>
      </c>
      <c r="F37" s="143" t="s">
        <v>7</v>
      </c>
      <c r="G37" s="32" t="s">
        <v>34</v>
      </c>
      <c r="H37" s="32" t="s">
        <v>8</v>
      </c>
      <c r="I37" s="100"/>
      <c r="J37" s="49"/>
      <c r="K37" s="49"/>
      <c r="L37" s="49"/>
      <c r="M37" s="49"/>
      <c r="N37" s="49"/>
      <c r="O37" s="49"/>
      <c r="P37" s="49"/>
      <c r="Q37" s="49"/>
      <c r="R37" s="49"/>
    </row>
    <row r="38" spans="1:21" s="7" customFormat="1" ht="12.75" hidden="1" customHeight="1" x14ac:dyDescent="0.2">
      <c r="A38" s="86" t="s">
        <v>148</v>
      </c>
      <c r="B38" s="111"/>
      <c r="C38" s="111"/>
      <c r="D38" s="112"/>
      <c r="E38" s="32">
        <v>5</v>
      </c>
      <c r="F38" s="143" t="s">
        <v>7</v>
      </c>
      <c r="G38" s="32" t="s">
        <v>34</v>
      </c>
      <c r="H38" s="32" t="s">
        <v>10</v>
      </c>
      <c r="I38" s="100"/>
      <c r="J38" s="49"/>
      <c r="K38" s="49"/>
      <c r="L38" s="49"/>
      <c r="M38" s="49"/>
      <c r="N38" s="49"/>
      <c r="O38" s="49"/>
      <c r="P38" s="49"/>
      <c r="Q38" s="49"/>
      <c r="R38" s="49"/>
    </row>
    <row r="39" spans="1:21" s="7" customFormat="1" ht="12.75" customHeight="1" x14ac:dyDescent="0.2">
      <c r="A39" s="86" t="s">
        <v>33</v>
      </c>
      <c r="B39" s="111"/>
      <c r="C39" s="111"/>
      <c r="D39" s="112"/>
      <c r="E39" s="32">
        <v>5</v>
      </c>
      <c r="F39" s="143" t="s">
        <v>7</v>
      </c>
      <c r="G39" s="32" t="s">
        <v>34</v>
      </c>
      <c r="H39" s="32" t="s">
        <v>15</v>
      </c>
      <c r="I39" s="100"/>
      <c r="J39" s="49">
        <v>2241220.4300000002</v>
      </c>
      <c r="K39" s="49"/>
      <c r="L39" s="49">
        <v>146240.31</v>
      </c>
      <c r="M39" s="49"/>
      <c r="N39" s="49">
        <f t="shared" ref="N39" si="3">P39-L39</f>
        <v>444656.50000000006</v>
      </c>
      <c r="O39" s="49"/>
      <c r="P39" s="49">
        <v>590896.81000000006</v>
      </c>
      <c r="Q39" s="49"/>
      <c r="R39" s="49">
        <v>405553.05</v>
      </c>
    </row>
    <row r="40" spans="1:21" s="7" customFormat="1" ht="12.75" customHeight="1" x14ac:dyDescent="0.2">
      <c r="A40" s="86" t="s">
        <v>35</v>
      </c>
      <c r="B40" s="111"/>
      <c r="C40" s="111"/>
      <c r="D40" s="112"/>
      <c r="E40" s="32">
        <v>5</v>
      </c>
      <c r="F40" s="143" t="s">
        <v>7</v>
      </c>
      <c r="G40" s="32" t="s">
        <v>34</v>
      </c>
      <c r="H40" s="32" t="s">
        <v>49</v>
      </c>
      <c r="I40" s="100"/>
      <c r="J40" s="49">
        <v>370000</v>
      </c>
      <c r="K40" s="49"/>
      <c r="L40" s="49"/>
      <c r="M40" s="49"/>
      <c r="N40" s="49">
        <f>P40-L40</f>
        <v>425000</v>
      </c>
      <c r="O40" s="49"/>
      <c r="P40" s="49">
        <v>425000</v>
      </c>
      <c r="Q40" s="49"/>
      <c r="R40" s="49">
        <v>385000</v>
      </c>
    </row>
    <row r="41" spans="1:21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21" s="7" customFormat="1" ht="18.95" customHeight="1" x14ac:dyDescent="0.2">
      <c r="A42" s="102" t="s">
        <v>36</v>
      </c>
      <c r="B42" s="26"/>
      <c r="C42" s="26"/>
      <c r="J42" s="161">
        <f>SUM(J16:J41)</f>
        <v>31273087.380000003</v>
      </c>
      <c r="K42" s="162"/>
      <c r="L42" s="161">
        <f>SUM(L16:L41)</f>
        <v>14218218.57</v>
      </c>
      <c r="M42" s="36"/>
      <c r="N42" s="161">
        <f>SUM(N16:N41)</f>
        <v>19500315.470000003</v>
      </c>
      <c r="O42" s="36"/>
      <c r="P42" s="161">
        <f>SUM(P16:P41)</f>
        <v>33718534.039999999</v>
      </c>
      <c r="Q42" s="36"/>
      <c r="R42" s="161">
        <f>SUM(R16:R41)</f>
        <v>34894439.589999996</v>
      </c>
      <c r="T42" s="7">
        <v>29133271.280000001</v>
      </c>
      <c r="U42" s="7">
        <f>R42-T42</f>
        <v>5761168.3099999949</v>
      </c>
    </row>
    <row r="43" spans="1:21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21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21" s="7" customFormat="1" ht="12.75" customHeight="1" x14ac:dyDescent="0.2">
      <c r="A45" s="86" t="s">
        <v>37</v>
      </c>
      <c r="B45" s="111"/>
      <c r="C45" s="111"/>
      <c r="D45" s="112"/>
      <c r="E45" s="32">
        <v>5</v>
      </c>
      <c r="F45" s="143" t="s">
        <v>12</v>
      </c>
      <c r="G45" s="32" t="s">
        <v>7</v>
      </c>
      <c r="H45" s="32" t="s">
        <v>8</v>
      </c>
      <c r="I45" s="100"/>
      <c r="J45" s="49">
        <v>261130</v>
      </c>
      <c r="K45" s="49"/>
      <c r="L45" s="49">
        <v>34581</v>
      </c>
      <c r="M45" s="49"/>
      <c r="N45" s="49">
        <f t="shared" ref="N45:N75" si="4">P45-L45</f>
        <v>365419</v>
      </c>
      <c r="O45" s="49"/>
      <c r="P45" s="49">
        <v>400000</v>
      </c>
      <c r="Q45" s="49"/>
      <c r="R45" s="49">
        <v>400000</v>
      </c>
    </row>
    <row r="46" spans="1:21" s="7" customFormat="1" ht="12.75" hidden="1" customHeight="1" x14ac:dyDescent="0.2">
      <c r="A46" s="86" t="s">
        <v>38</v>
      </c>
      <c r="B46" s="111"/>
      <c r="C46" s="111"/>
      <c r="E46" s="32">
        <v>5</v>
      </c>
      <c r="F46" s="143" t="s">
        <v>12</v>
      </c>
      <c r="G46" s="32" t="s">
        <v>7</v>
      </c>
      <c r="H46" s="32" t="s">
        <v>10</v>
      </c>
      <c r="I46" s="100"/>
      <c r="J46" s="49"/>
      <c r="K46" s="49"/>
      <c r="L46" s="49"/>
      <c r="M46" s="49"/>
      <c r="N46" s="49">
        <f t="shared" si="4"/>
        <v>0</v>
      </c>
      <c r="O46" s="49"/>
      <c r="P46" s="49"/>
      <c r="Q46" s="49"/>
      <c r="R46" s="49"/>
    </row>
    <row r="47" spans="1:21" s="7" customFormat="1" ht="12.75" customHeight="1" x14ac:dyDescent="0.2">
      <c r="A47" s="86" t="s">
        <v>39</v>
      </c>
      <c r="B47" s="111"/>
      <c r="C47" s="111"/>
      <c r="E47" s="32">
        <v>5</v>
      </c>
      <c r="F47" s="143" t="s">
        <v>12</v>
      </c>
      <c r="G47" s="32" t="s">
        <v>12</v>
      </c>
      <c r="H47" s="32" t="s">
        <v>8</v>
      </c>
      <c r="I47" s="100"/>
      <c r="J47" s="49">
        <v>3140</v>
      </c>
      <c r="K47" s="49"/>
      <c r="L47" s="49"/>
      <c r="M47" s="49"/>
      <c r="N47" s="49">
        <f t="shared" si="4"/>
        <v>0</v>
      </c>
      <c r="O47" s="49"/>
      <c r="P47" s="49"/>
      <c r="Q47" s="49"/>
      <c r="R47" s="49"/>
    </row>
    <row r="48" spans="1:21" s="7" customFormat="1" ht="12.75" hidden="1" customHeight="1" x14ac:dyDescent="0.2">
      <c r="A48" s="86" t="s">
        <v>142</v>
      </c>
      <c r="B48" s="111"/>
      <c r="C48" s="111"/>
      <c r="D48" s="112"/>
      <c r="E48" s="32">
        <v>5</v>
      </c>
      <c r="F48" s="143" t="s">
        <v>12</v>
      </c>
      <c r="G48" s="32" t="s">
        <v>12</v>
      </c>
      <c r="H48" s="32" t="s">
        <v>10</v>
      </c>
      <c r="I48" s="100"/>
      <c r="J48" s="49"/>
      <c r="K48" s="49"/>
      <c r="L48" s="49"/>
      <c r="M48" s="49"/>
      <c r="N48" s="49">
        <f t="shared" si="4"/>
        <v>0</v>
      </c>
      <c r="O48" s="49"/>
      <c r="P48" s="49"/>
      <c r="Q48" s="49"/>
      <c r="R48" s="49"/>
    </row>
    <row r="49" spans="1:18" s="7" customFormat="1" ht="12.75" hidden="1" customHeight="1" x14ac:dyDescent="0.2">
      <c r="A49" s="86" t="s">
        <v>40</v>
      </c>
      <c r="B49" s="111"/>
      <c r="C49" s="111"/>
      <c r="D49" s="112"/>
      <c r="E49" s="32">
        <v>5</v>
      </c>
      <c r="F49" s="143" t="s">
        <v>12</v>
      </c>
      <c r="G49" s="32" t="s">
        <v>29</v>
      </c>
      <c r="H49" s="32" t="s">
        <v>8</v>
      </c>
      <c r="I49" s="100"/>
      <c r="J49" s="49"/>
      <c r="K49" s="49"/>
      <c r="L49" s="49"/>
      <c r="M49" s="49"/>
      <c r="N49" s="49"/>
      <c r="O49" s="49"/>
      <c r="P49" s="49"/>
      <c r="Q49" s="49"/>
      <c r="R49" s="49"/>
    </row>
    <row r="50" spans="1:18" s="7" customFormat="1" ht="12.75" customHeight="1" x14ac:dyDescent="0.2">
      <c r="A50" s="86" t="s">
        <v>41</v>
      </c>
      <c r="B50" s="111"/>
      <c r="C50" s="111"/>
      <c r="D50" s="112"/>
      <c r="E50" s="32">
        <v>5</v>
      </c>
      <c r="F50" s="143" t="s">
        <v>12</v>
      </c>
      <c r="G50" s="32" t="s">
        <v>29</v>
      </c>
      <c r="H50" s="32" t="s">
        <v>10</v>
      </c>
      <c r="I50" s="100"/>
      <c r="J50" s="49">
        <v>799880</v>
      </c>
      <c r="K50" s="49"/>
      <c r="L50" s="49"/>
      <c r="M50" s="49"/>
      <c r="N50" s="49">
        <f t="shared" si="4"/>
        <v>880000</v>
      </c>
      <c r="O50" s="49"/>
      <c r="P50" s="49">
        <v>880000</v>
      </c>
      <c r="Q50" s="49"/>
      <c r="R50" s="49">
        <v>880000</v>
      </c>
    </row>
    <row r="51" spans="1:18" s="7" customFormat="1" ht="12.75" hidden="1" customHeight="1" x14ac:dyDescent="0.2">
      <c r="A51" s="86" t="s">
        <v>42</v>
      </c>
      <c r="B51" s="111"/>
      <c r="C51" s="111"/>
      <c r="D51" s="112"/>
      <c r="E51" s="32">
        <v>5</v>
      </c>
      <c r="F51" s="143" t="s">
        <v>12</v>
      </c>
      <c r="G51" s="32" t="s">
        <v>29</v>
      </c>
      <c r="H51" s="32" t="s">
        <v>17</v>
      </c>
      <c r="I51" s="100"/>
      <c r="J51" s="49"/>
      <c r="K51" s="49"/>
      <c r="L51" s="49"/>
      <c r="M51" s="49"/>
      <c r="N51" s="49">
        <f t="shared" si="4"/>
        <v>0</v>
      </c>
      <c r="O51" s="49"/>
      <c r="P51" s="49"/>
      <c r="Q51" s="49"/>
      <c r="R51" s="49"/>
    </row>
    <row r="52" spans="1:18" s="7" customFormat="1" ht="12.75" hidden="1" customHeight="1" x14ac:dyDescent="0.2">
      <c r="A52" s="86" t="s">
        <v>43</v>
      </c>
      <c r="B52" s="111"/>
      <c r="C52" s="111"/>
      <c r="D52" s="112"/>
      <c r="E52" s="32">
        <v>5</v>
      </c>
      <c r="F52" s="143" t="s">
        <v>12</v>
      </c>
      <c r="G52" s="32" t="s">
        <v>29</v>
      </c>
      <c r="H52" s="32" t="s">
        <v>64</v>
      </c>
      <c r="I52" s="100"/>
      <c r="J52" s="49"/>
      <c r="K52" s="49"/>
      <c r="L52" s="49"/>
      <c r="M52" s="49"/>
      <c r="N52" s="49">
        <f t="shared" si="4"/>
        <v>0</v>
      </c>
      <c r="O52" s="49"/>
      <c r="P52" s="49"/>
      <c r="Q52" s="49"/>
      <c r="R52" s="49"/>
    </row>
    <row r="53" spans="1:18" s="7" customFormat="1" ht="12.75" hidden="1" customHeight="1" x14ac:dyDescent="0.2">
      <c r="A53" s="86" t="s">
        <v>88</v>
      </c>
      <c r="B53" s="111"/>
      <c r="C53" s="111"/>
      <c r="E53" s="32">
        <v>5</v>
      </c>
      <c r="F53" s="143" t="s">
        <v>12</v>
      </c>
      <c r="G53" s="32" t="s">
        <v>29</v>
      </c>
      <c r="H53" s="32" t="s">
        <v>60</v>
      </c>
      <c r="I53" s="100"/>
      <c r="J53" s="49"/>
      <c r="K53" s="49"/>
      <c r="L53" s="49"/>
      <c r="M53" s="49"/>
      <c r="N53" s="49">
        <f t="shared" si="4"/>
        <v>0</v>
      </c>
      <c r="O53" s="49"/>
      <c r="P53" s="49"/>
      <c r="Q53" s="49"/>
      <c r="R53" s="49"/>
    </row>
    <row r="54" spans="1:18" s="7" customFormat="1" ht="12.75" hidden="1" customHeight="1" x14ac:dyDescent="0.2">
      <c r="A54" s="86" t="s">
        <v>150</v>
      </c>
      <c r="B54" s="111"/>
      <c r="C54" s="111"/>
      <c r="D54" s="112"/>
      <c r="E54" s="32">
        <v>5</v>
      </c>
      <c r="F54" s="143" t="s">
        <v>12</v>
      </c>
      <c r="G54" s="32" t="s">
        <v>29</v>
      </c>
      <c r="H54" s="32" t="s">
        <v>19</v>
      </c>
      <c r="I54" s="100"/>
      <c r="J54" s="49"/>
      <c r="K54" s="49"/>
      <c r="L54" s="49"/>
      <c r="M54" s="49"/>
      <c r="N54" s="49">
        <f t="shared" si="4"/>
        <v>0</v>
      </c>
      <c r="O54" s="49"/>
      <c r="P54" s="49"/>
      <c r="Q54" s="49"/>
      <c r="R54" s="49"/>
    </row>
    <row r="55" spans="1:18" s="7" customFormat="1" ht="12.75" hidden="1" customHeight="1" x14ac:dyDescent="0.2">
      <c r="A55" s="86" t="s">
        <v>151</v>
      </c>
      <c r="B55" s="111"/>
      <c r="C55" s="111"/>
      <c r="D55" s="112"/>
      <c r="E55" s="32">
        <v>5</v>
      </c>
      <c r="F55" s="143" t="s">
        <v>12</v>
      </c>
      <c r="G55" s="32" t="s">
        <v>29</v>
      </c>
      <c r="H55" s="32" t="s">
        <v>82</v>
      </c>
      <c r="I55" s="100"/>
      <c r="J55" s="49"/>
      <c r="K55" s="49"/>
      <c r="L55" s="49"/>
      <c r="M55" s="49"/>
      <c r="N55" s="49">
        <f t="shared" si="4"/>
        <v>0</v>
      </c>
      <c r="O55" s="49"/>
      <c r="P55" s="49"/>
      <c r="Q55" s="49"/>
      <c r="R55" s="49"/>
    </row>
    <row r="56" spans="1:18" s="7" customFormat="1" ht="12.75" customHeight="1" x14ac:dyDescent="0.2">
      <c r="A56" s="86" t="s">
        <v>44</v>
      </c>
      <c r="B56" s="111"/>
      <c r="C56" s="111"/>
      <c r="D56" s="112"/>
      <c r="E56" s="32">
        <v>5</v>
      </c>
      <c r="F56" s="143" t="s">
        <v>12</v>
      </c>
      <c r="G56" s="32" t="s">
        <v>29</v>
      </c>
      <c r="H56" s="32" t="s">
        <v>45</v>
      </c>
      <c r="I56" s="100"/>
      <c r="J56" s="49">
        <v>112097.60000000001</v>
      </c>
      <c r="K56" s="49"/>
      <c r="L56" s="49">
        <v>34077.49</v>
      </c>
      <c r="M56" s="49"/>
      <c r="N56" s="49">
        <f t="shared" si="4"/>
        <v>109922.51000000001</v>
      </c>
      <c r="O56" s="49"/>
      <c r="P56" s="49">
        <v>144000</v>
      </c>
      <c r="Q56" s="49"/>
      <c r="R56" s="49">
        <v>144000</v>
      </c>
    </row>
    <row r="57" spans="1:18" s="7" customFormat="1" ht="12.75" hidden="1" customHeight="1" x14ac:dyDescent="0.2">
      <c r="A57" s="86" t="s">
        <v>152</v>
      </c>
      <c r="B57" s="111"/>
      <c r="C57" s="111"/>
      <c r="D57" s="112"/>
      <c r="E57" s="32">
        <v>5</v>
      </c>
      <c r="F57" s="143" t="s">
        <v>12</v>
      </c>
      <c r="G57" s="32" t="s">
        <v>29</v>
      </c>
      <c r="H57" s="32" t="s">
        <v>102</v>
      </c>
      <c r="I57" s="100"/>
      <c r="J57" s="49"/>
      <c r="K57" s="49"/>
      <c r="L57" s="49"/>
      <c r="M57" s="49"/>
      <c r="N57" s="49">
        <f t="shared" si="4"/>
        <v>0</v>
      </c>
      <c r="O57" s="49"/>
      <c r="P57" s="49"/>
      <c r="Q57" s="49"/>
      <c r="R57" s="49"/>
    </row>
    <row r="58" spans="1:18" s="7" customFormat="1" ht="12.75" hidden="1" customHeight="1" x14ac:dyDescent="0.2">
      <c r="A58" s="86" t="s">
        <v>153</v>
      </c>
      <c r="B58" s="111"/>
      <c r="C58" s="111"/>
      <c r="D58" s="112"/>
      <c r="E58" s="32">
        <v>5</v>
      </c>
      <c r="F58" s="143" t="s">
        <v>12</v>
      </c>
      <c r="G58" s="32" t="s">
        <v>29</v>
      </c>
      <c r="H58" s="32" t="s">
        <v>146</v>
      </c>
      <c r="I58" s="100"/>
      <c r="J58" s="49"/>
      <c r="K58" s="49"/>
      <c r="L58" s="49"/>
      <c r="M58" s="49"/>
      <c r="N58" s="49">
        <f t="shared" si="4"/>
        <v>0</v>
      </c>
      <c r="O58" s="49"/>
      <c r="P58" s="49"/>
      <c r="Q58" s="49"/>
      <c r="R58" s="49"/>
    </row>
    <row r="59" spans="1:18" s="7" customFormat="1" ht="12.75" hidden="1" customHeight="1" x14ac:dyDescent="0.2">
      <c r="A59" s="86" t="s">
        <v>46</v>
      </c>
      <c r="B59" s="111"/>
      <c r="C59" s="111"/>
      <c r="D59" s="112"/>
      <c r="E59" s="32">
        <v>5</v>
      </c>
      <c r="F59" s="143" t="s">
        <v>12</v>
      </c>
      <c r="G59" s="32" t="s">
        <v>29</v>
      </c>
      <c r="H59" s="32" t="s">
        <v>47</v>
      </c>
      <c r="I59" s="100"/>
      <c r="J59" s="49"/>
      <c r="K59" s="49"/>
      <c r="L59" s="49"/>
      <c r="M59" s="49"/>
      <c r="N59" s="49">
        <f t="shared" si="4"/>
        <v>0</v>
      </c>
      <c r="O59" s="49"/>
      <c r="P59" s="49"/>
      <c r="Q59" s="49"/>
      <c r="R59" s="49"/>
    </row>
    <row r="60" spans="1:18" s="7" customFormat="1" ht="12.75" hidden="1" customHeight="1" x14ac:dyDescent="0.2">
      <c r="A60" s="86" t="s">
        <v>154</v>
      </c>
      <c r="B60" s="111"/>
      <c r="C60" s="111"/>
      <c r="E60" s="32">
        <v>5</v>
      </c>
      <c r="F60" s="143" t="s">
        <v>12</v>
      </c>
      <c r="G60" s="32" t="s">
        <v>29</v>
      </c>
      <c r="H60" s="32" t="s">
        <v>15</v>
      </c>
      <c r="I60" s="100"/>
      <c r="J60" s="49"/>
      <c r="K60" s="49"/>
      <c r="L60" s="49"/>
      <c r="M60" s="49"/>
      <c r="N60" s="49">
        <f t="shared" si="4"/>
        <v>0</v>
      </c>
      <c r="O60" s="49"/>
      <c r="P60" s="49"/>
      <c r="Q60" s="49"/>
      <c r="R60" s="49"/>
    </row>
    <row r="61" spans="1:18" s="7" customFormat="1" ht="12.75" hidden="1" customHeight="1" x14ac:dyDescent="0.2">
      <c r="A61" s="86" t="s">
        <v>51</v>
      </c>
      <c r="B61" s="111"/>
      <c r="C61" s="111"/>
      <c r="D61" s="112"/>
      <c r="E61" s="32">
        <v>5</v>
      </c>
      <c r="F61" s="143" t="s">
        <v>12</v>
      </c>
      <c r="G61" s="32" t="s">
        <v>29</v>
      </c>
      <c r="H61" s="32" t="s">
        <v>24</v>
      </c>
      <c r="I61" s="100"/>
      <c r="J61" s="49"/>
      <c r="K61" s="49"/>
      <c r="L61" s="49"/>
      <c r="M61" s="49"/>
      <c r="N61" s="49">
        <f t="shared" si="4"/>
        <v>0</v>
      </c>
      <c r="O61" s="49"/>
      <c r="P61" s="49"/>
      <c r="Q61" s="49"/>
      <c r="R61" s="49"/>
    </row>
    <row r="62" spans="1:18" s="7" customFormat="1" ht="12.75" customHeight="1" x14ac:dyDescent="0.2">
      <c r="A62" s="86" t="s">
        <v>48</v>
      </c>
      <c r="B62" s="111"/>
      <c r="C62" s="111"/>
      <c r="E62" s="32">
        <v>5</v>
      </c>
      <c r="F62" s="143" t="s">
        <v>12</v>
      </c>
      <c r="G62" s="32" t="s">
        <v>29</v>
      </c>
      <c r="H62" s="140" t="s">
        <v>49</v>
      </c>
      <c r="I62" s="100"/>
      <c r="J62" s="49">
        <v>280000</v>
      </c>
      <c r="K62" s="49"/>
      <c r="L62" s="49"/>
      <c r="M62" s="49"/>
      <c r="N62" s="49">
        <f t="shared" si="4"/>
        <v>385000</v>
      </c>
      <c r="O62" s="49"/>
      <c r="P62" s="49">
        <v>385000</v>
      </c>
      <c r="Q62" s="49"/>
      <c r="R62" s="49">
        <v>385000</v>
      </c>
    </row>
    <row r="63" spans="1:18" s="7" customFormat="1" ht="12.75" hidden="1" customHeight="1" x14ac:dyDescent="0.2">
      <c r="A63" s="86" t="s">
        <v>50</v>
      </c>
      <c r="B63" s="111"/>
      <c r="C63" s="111"/>
      <c r="D63" s="112"/>
      <c r="E63" s="32">
        <v>5</v>
      </c>
      <c r="F63" s="143" t="s">
        <v>12</v>
      </c>
      <c r="G63" s="32" t="s">
        <v>34</v>
      </c>
      <c r="H63" s="32" t="s">
        <v>8</v>
      </c>
      <c r="I63" s="100"/>
      <c r="J63" s="49"/>
      <c r="K63" s="49"/>
      <c r="L63" s="49"/>
      <c r="M63" s="49"/>
      <c r="N63" s="49">
        <f t="shared" si="4"/>
        <v>0</v>
      </c>
      <c r="O63" s="49"/>
      <c r="P63" s="49"/>
      <c r="Q63" s="49"/>
      <c r="R63" s="49"/>
    </row>
    <row r="64" spans="1:18" s="7" customFormat="1" ht="12.75" hidden="1" customHeight="1" x14ac:dyDescent="0.2">
      <c r="A64" s="86" t="s">
        <v>52</v>
      </c>
      <c r="B64" s="111"/>
      <c r="C64" s="111"/>
      <c r="D64" s="112"/>
      <c r="E64" s="32">
        <v>5</v>
      </c>
      <c r="F64" s="143" t="s">
        <v>12</v>
      </c>
      <c r="G64" s="32" t="s">
        <v>34</v>
      </c>
      <c r="H64" s="32" t="s">
        <v>10</v>
      </c>
      <c r="I64" s="100"/>
      <c r="J64" s="49"/>
      <c r="K64" s="49"/>
      <c r="L64" s="49"/>
      <c r="M64" s="49"/>
      <c r="N64" s="49">
        <f t="shared" si="4"/>
        <v>0</v>
      </c>
      <c r="O64" s="49"/>
      <c r="P64" s="49"/>
      <c r="Q64" s="49"/>
      <c r="R64" s="49"/>
    </row>
    <row r="65" spans="1:18" s="7" customFormat="1" ht="12.75" hidden="1" customHeight="1" x14ac:dyDescent="0.2">
      <c r="A65" s="86" t="s">
        <v>48</v>
      </c>
      <c r="B65" s="111"/>
      <c r="C65" s="111"/>
      <c r="D65" s="112"/>
      <c r="E65" s="32">
        <v>5</v>
      </c>
      <c r="F65" s="143" t="s">
        <v>12</v>
      </c>
      <c r="G65" s="32" t="s">
        <v>29</v>
      </c>
      <c r="H65" s="140" t="s">
        <v>49</v>
      </c>
      <c r="I65" s="100"/>
      <c r="J65" s="49"/>
      <c r="K65" s="49"/>
      <c r="L65" s="49"/>
      <c r="M65" s="49"/>
      <c r="N65" s="49">
        <f t="shared" si="4"/>
        <v>0</v>
      </c>
      <c r="O65" s="49"/>
      <c r="P65" s="49"/>
      <c r="Q65" s="49"/>
      <c r="R65" s="49"/>
    </row>
    <row r="66" spans="1:18" s="7" customFormat="1" ht="12.75" customHeight="1" x14ac:dyDescent="0.2">
      <c r="A66" s="86" t="s">
        <v>53</v>
      </c>
      <c r="B66" s="111"/>
      <c r="C66" s="111"/>
      <c r="E66" s="32">
        <v>5</v>
      </c>
      <c r="F66" s="143" t="s">
        <v>12</v>
      </c>
      <c r="G66" s="32" t="s">
        <v>54</v>
      </c>
      <c r="H66" s="32" t="s">
        <v>8</v>
      </c>
      <c r="I66" s="100"/>
      <c r="J66" s="49">
        <v>291009</v>
      </c>
      <c r="K66" s="49"/>
      <c r="L66" s="49">
        <v>104783</v>
      </c>
      <c r="M66" s="49"/>
      <c r="N66" s="49">
        <f t="shared" si="4"/>
        <v>195217</v>
      </c>
      <c r="O66" s="49"/>
      <c r="P66" s="49">
        <v>300000</v>
      </c>
      <c r="Q66" s="49"/>
      <c r="R66" s="49">
        <v>600000</v>
      </c>
    </row>
    <row r="67" spans="1:18" s="7" customFormat="1" ht="12.75" hidden="1" customHeight="1" x14ac:dyDescent="0.2">
      <c r="A67" s="86" t="s">
        <v>55</v>
      </c>
      <c r="B67" s="111"/>
      <c r="C67" s="111"/>
      <c r="E67" s="32">
        <v>5</v>
      </c>
      <c r="F67" s="143" t="s">
        <v>12</v>
      </c>
      <c r="G67" s="32" t="s">
        <v>54</v>
      </c>
      <c r="H67" s="32" t="s">
        <v>10</v>
      </c>
      <c r="I67" s="100"/>
      <c r="J67" s="49"/>
      <c r="K67" s="49"/>
      <c r="L67" s="49"/>
      <c r="M67" s="49"/>
      <c r="N67" s="49">
        <f t="shared" si="4"/>
        <v>0</v>
      </c>
      <c r="O67" s="49"/>
      <c r="P67" s="49"/>
      <c r="Q67" s="49"/>
      <c r="R67" s="49"/>
    </row>
    <row r="68" spans="1:18" s="7" customFormat="1" ht="12.75" hidden="1" customHeight="1" x14ac:dyDescent="0.2">
      <c r="A68" s="86" t="s">
        <v>56</v>
      </c>
      <c r="B68" s="111"/>
      <c r="C68" s="111"/>
      <c r="E68" s="32">
        <v>5</v>
      </c>
      <c r="F68" s="143" t="s">
        <v>12</v>
      </c>
      <c r="G68" s="32" t="s">
        <v>54</v>
      </c>
      <c r="H68" s="32" t="s">
        <v>15</v>
      </c>
      <c r="I68" s="100"/>
      <c r="J68" s="49"/>
      <c r="K68" s="49"/>
      <c r="L68" s="49"/>
      <c r="M68" s="49"/>
      <c r="N68" s="49">
        <f t="shared" si="4"/>
        <v>0</v>
      </c>
      <c r="O68" s="49"/>
      <c r="P68" s="49"/>
      <c r="Q68" s="49"/>
      <c r="R68" s="49"/>
    </row>
    <row r="69" spans="1:18" s="7" customFormat="1" ht="12.75" hidden="1" customHeight="1" x14ac:dyDescent="0.2">
      <c r="A69" s="86" t="s">
        <v>57</v>
      </c>
      <c r="B69" s="111"/>
      <c r="C69" s="111"/>
      <c r="E69" s="32">
        <v>5</v>
      </c>
      <c r="F69" s="143" t="s">
        <v>12</v>
      </c>
      <c r="G69" s="32" t="s">
        <v>54</v>
      </c>
      <c r="H69" s="32" t="s">
        <v>17</v>
      </c>
      <c r="I69" s="100"/>
      <c r="J69" s="49"/>
      <c r="K69" s="49"/>
      <c r="L69" s="49"/>
      <c r="M69" s="49"/>
      <c r="N69" s="49">
        <f t="shared" si="4"/>
        <v>0</v>
      </c>
      <c r="O69" s="49"/>
      <c r="P69" s="49"/>
      <c r="Q69" s="49"/>
      <c r="R69" s="49"/>
    </row>
    <row r="70" spans="1:18" s="7" customFormat="1" ht="12.75" hidden="1" customHeight="1" x14ac:dyDescent="0.2">
      <c r="A70" s="86" t="s">
        <v>58</v>
      </c>
      <c r="B70" s="111"/>
      <c r="C70" s="111"/>
      <c r="E70" s="32">
        <v>5</v>
      </c>
      <c r="F70" s="32" t="s">
        <v>12</v>
      </c>
      <c r="G70" s="32" t="s">
        <v>59</v>
      </c>
      <c r="H70" s="32" t="s">
        <v>60</v>
      </c>
      <c r="I70" s="100"/>
      <c r="J70" s="49"/>
      <c r="K70" s="49"/>
      <c r="L70" s="49"/>
      <c r="M70" s="49"/>
      <c r="N70" s="49">
        <f t="shared" si="4"/>
        <v>0</v>
      </c>
      <c r="O70" s="49"/>
      <c r="P70" s="49"/>
      <c r="Q70" s="49"/>
      <c r="R70" s="49"/>
    </row>
    <row r="71" spans="1:18" s="7" customFormat="1" ht="12.75" hidden="1" customHeight="1" x14ac:dyDescent="0.2">
      <c r="A71" s="86" t="s">
        <v>66</v>
      </c>
      <c r="B71" s="111"/>
      <c r="C71" s="111"/>
      <c r="E71" s="32">
        <v>5</v>
      </c>
      <c r="F71" s="143" t="s">
        <v>12</v>
      </c>
      <c r="G71" s="32" t="s">
        <v>67</v>
      </c>
      <c r="H71" s="32" t="s">
        <v>8</v>
      </c>
      <c r="I71" s="100"/>
      <c r="J71" s="49"/>
      <c r="K71" s="49"/>
      <c r="L71" s="49"/>
      <c r="M71" s="49"/>
      <c r="N71" s="49">
        <f t="shared" si="4"/>
        <v>0</v>
      </c>
      <c r="O71" s="49"/>
      <c r="P71" s="49"/>
      <c r="Q71" s="49"/>
      <c r="R71" s="49"/>
    </row>
    <row r="72" spans="1:18" s="7" customFormat="1" ht="12.75" hidden="1" customHeight="1" x14ac:dyDescent="0.2">
      <c r="A72" s="86" t="s">
        <v>62</v>
      </c>
      <c r="B72" s="111"/>
      <c r="C72" s="111"/>
      <c r="E72" s="32">
        <v>5</v>
      </c>
      <c r="F72" s="143" t="s">
        <v>12</v>
      </c>
      <c r="G72" s="32" t="s">
        <v>59</v>
      </c>
      <c r="H72" s="32" t="s">
        <v>10</v>
      </c>
      <c r="I72" s="100"/>
      <c r="J72" s="49"/>
      <c r="K72" s="49"/>
      <c r="L72" s="49"/>
      <c r="M72" s="49"/>
      <c r="N72" s="49">
        <f t="shared" si="4"/>
        <v>0</v>
      </c>
      <c r="O72" s="49"/>
      <c r="P72" s="49"/>
      <c r="Q72" s="49"/>
      <c r="R72" s="49"/>
    </row>
    <row r="73" spans="1:18" s="7" customFormat="1" ht="12.75" hidden="1" customHeight="1" x14ac:dyDescent="0.2">
      <c r="A73" s="86" t="s">
        <v>63</v>
      </c>
      <c r="B73" s="111"/>
      <c r="C73" s="111"/>
      <c r="E73" s="32">
        <v>5</v>
      </c>
      <c r="F73" s="143" t="s">
        <v>12</v>
      </c>
      <c r="G73" s="32" t="s">
        <v>59</v>
      </c>
      <c r="H73" s="32" t="s">
        <v>64</v>
      </c>
      <c r="I73" s="100"/>
      <c r="J73" s="49"/>
      <c r="K73" s="49"/>
      <c r="L73" s="49"/>
      <c r="M73" s="49"/>
      <c r="N73" s="49">
        <f t="shared" si="4"/>
        <v>0</v>
      </c>
      <c r="O73" s="49"/>
      <c r="P73" s="49"/>
      <c r="Q73" s="49"/>
      <c r="R73" s="49"/>
    </row>
    <row r="74" spans="1:18" s="7" customFormat="1" ht="12.75" hidden="1" customHeight="1" x14ac:dyDescent="0.2">
      <c r="A74" s="86" t="s">
        <v>155</v>
      </c>
      <c r="B74" s="111"/>
      <c r="C74" s="111"/>
      <c r="E74" s="32">
        <v>5</v>
      </c>
      <c r="F74" s="143" t="s">
        <v>12</v>
      </c>
      <c r="G74" s="32" t="s">
        <v>59</v>
      </c>
      <c r="H74" s="32" t="s">
        <v>15</v>
      </c>
      <c r="I74" s="100"/>
      <c r="J74" s="49"/>
      <c r="K74" s="49"/>
      <c r="L74" s="49"/>
      <c r="M74" s="49"/>
      <c r="N74" s="49">
        <f t="shared" si="4"/>
        <v>0</v>
      </c>
      <c r="O74" s="49"/>
      <c r="P74" s="49"/>
      <c r="Q74" s="49"/>
      <c r="R74" s="49"/>
    </row>
    <row r="75" spans="1:18" s="7" customFormat="1" ht="12.75" hidden="1" customHeight="1" x14ac:dyDescent="0.2">
      <c r="A75" s="86" t="s">
        <v>156</v>
      </c>
      <c r="B75" s="111"/>
      <c r="C75" s="111"/>
      <c r="E75" s="32">
        <v>5</v>
      </c>
      <c r="F75" s="32" t="s">
        <v>12</v>
      </c>
      <c r="G75" s="32" t="s">
        <v>59</v>
      </c>
      <c r="H75" s="32" t="s">
        <v>17</v>
      </c>
      <c r="I75" s="100"/>
      <c r="J75" s="49"/>
      <c r="K75" s="49"/>
      <c r="L75" s="49"/>
      <c r="M75" s="49"/>
      <c r="N75" s="49">
        <f t="shared" si="4"/>
        <v>0</v>
      </c>
      <c r="O75" s="49"/>
      <c r="P75" s="49"/>
      <c r="Q75" s="49"/>
      <c r="R75" s="49"/>
    </row>
    <row r="76" spans="1:18" s="7" customFormat="1" ht="12.75" hidden="1" customHeight="1" x14ac:dyDescent="0.2">
      <c r="A76" s="86" t="s">
        <v>63</v>
      </c>
      <c r="B76" s="111"/>
      <c r="C76" s="111"/>
      <c r="E76" s="32">
        <v>5</v>
      </c>
      <c r="F76" s="143" t="s">
        <v>12</v>
      </c>
      <c r="G76" s="32" t="s">
        <v>59</v>
      </c>
      <c r="H76" s="32" t="s">
        <v>64</v>
      </c>
      <c r="I76" s="100"/>
      <c r="J76" s="49"/>
      <c r="K76" s="49"/>
      <c r="L76" s="49"/>
      <c r="M76" s="49"/>
      <c r="N76" s="49">
        <f t="shared" ref="N76:N112" si="5">P76-L76</f>
        <v>0</v>
      </c>
      <c r="O76" s="49"/>
      <c r="P76" s="49"/>
      <c r="Q76" s="49"/>
      <c r="R76" s="49"/>
    </row>
    <row r="77" spans="1:18" s="7" customFormat="1" ht="12.75" hidden="1" customHeight="1" x14ac:dyDescent="0.2">
      <c r="A77" s="86" t="s">
        <v>65</v>
      </c>
      <c r="B77" s="111"/>
      <c r="C77" s="111"/>
      <c r="E77" s="32">
        <v>5</v>
      </c>
      <c r="F77" s="143" t="s">
        <v>12</v>
      </c>
      <c r="G77" s="32" t="s">
        <v>59</v>
      </c>
      <c r="H77" s="32" t="s">
        <v>19</v>
      </c>
      <c r="I77" s="100"/>
      <c r="J77" s="49"/>
      <c r="K77" s="49"/>
      <c r="L77" s="49"/>
      <c r="M77" s="49"/>
      <c r="N77" s="49">
        <f t="shared" si="5"/>
        <v>0</v>
      </c>
      <c r="O77" s="49"/>
      <c r="P77" s="49"/>
      <c r="Q77" s="49"/>
      <c r="R77" s="49"/>
    </row>
    <row r="78" spans="1:18" s="7" customFormat="1" ht="12.75" hidden="1" customHeight="1" x14ac:dyDescent="0.2">
      <c r="A78" s="86" t="s">
        <v>157</v>
      </c>
      <c r="B78" s="111"/>
      <c r="C78" s="111"/>
      <c r="E78" s="32">
        <v>5</v>
      </c>
      <c r="F78" s="143" t="s">
        <v>12</v>
      </c>
      <c r="G78" s="32" t="s">
        <v>93</v>
      </c>
      <c r="H78" s="32" t="s">
        <v>8</v>
      </c>
      <c r="I78" s="100"/>
      <c r="J78" s="49"/>
      <c r="K78" s="49"/>
      <c r="L78" s="49"/>
      <c r="M78" s="49"/>
      <c r="N78" s="49">
        <f t="shared" si="5"/>
        <v>0</v>
      </c>
      <c r="O78" s="49"/>
      <c r="P78" s="49"/>
      <c r="Q78" s="49"/>
      <c r="R78" s="49"/>
    </row>
    <row r="79" spans="1:18" s="7" customFormat="1" ht="12.75" hidden="1" customHeight="1" x14ac:dyDescent="0.2">
      <c r="A79" s="86" t="s">
        <v>66</v>
      </c>
      <c r="B79" s="111"/>
      <c r="C79" s="111"/>
      <c r="E79" s="32">
        <v>5</v>
      </c>
      <c r="F79" s="143" t="s">
        <v>12</v>
      </c>
      <c r="G79" s="32" t="s">
        <v>67</v>
      </c>
      <c r="H79" s="32" t="s">
        <v>8</v>
      </c>
      <c r="I79" s="100"/>
      <c r="J79" s="49"/>
      <c r="K79" s="49"/>
      <c r="L79" s="49"/>
      <c r="M79" s="49"/>
      <c r="N79" s="49">
        <f t="shared" si="5"/>
        <v>0</v>
      </c>
      <c r="O79" s="49"/>
      <c r="P79" s="49"/>
      <c r="Q79" s="49"/>
      <c r="R79" s="49"/>
    </row>
    <row r="80" spans="1:18" s="7" customFormat="1" ht="12.75" hidden="1" customHeight="1" x14ac:dyDescent="0.2">
      <c r="A80" s="86" t="s">
        <v>68</v>
      </c>
      <c r="B80" s="111"/>
      <c r="C80" s="111"/>
      <c r="E80" s="32">
        <v>5</v>
      </c>
      <c r="F80" s="143" t="s">
        <v>12</v>
      </c>
      <c r="G80" s="32" t="s">
        <v>67</v>
      </c>
      <c r="H80" s="32" t="s">
        <v>10</v>
      </c>
      <c r="I80" s="100"/>
      <c r="J80" s="49"/>
      <c r="K80" s="49"/>
      <c r="L80" s="49"/>
      <c r="M80" s="49"/>
      <c r="N80" s="49">
        <f t="shared" si="5"/>
        <v>0</v>
      </c>
      <c r="O80" s="49"/>
      <c r="P80" s="49"/>
      <c r="Q80" s="49"/>
      <c r="R80" s="49"/>
    </row>
    <row r="81" spans="1:18" s="7" customFormat="1" ht="12.75" hidden="1" customHeight="1" x14ac:dyDescent="0.2">
      <c r="A81" s="86" t="s">
        <v>158</v>
      </c>
      <c r="B81" s="111"/>
      <c r="C81" s="111"/>
      <c r="E81" s="32">
        <v>5</v>
      </c>
      <c r="F81" s="143" t="s">
        <v>12</v>
      </c>
      <c r="G81" s="32" t="s">
        <v>70</v>
      </c>
      <c r="H81" s="32" t="s">
        <v>8</v>
      </c>
      <c r="I81" s="100"/>
      <c r="J81" s="49"/>
      <c r="K81" s="49"/>
      <c r="L81" s="49"/>
      <c r="M81" s="49"/>
      <c r="N81" s="49">
        <f t="shared" si="5"/>
        <v>0</v>
      </c>
      <c r="O81" s="49"/>
      <c r="P81" s="49"/>
      <c r="Q81" s="49"/>
      <c r="R81" s="49"/>
    </row>
    <row r="82" spans="1:18" s="7" customFormat="1" ht="12.75" hidden="1" customHeight="1" x14ac:dyDescent="0.2">
      <c r="A82" s="86" t="s">
        <v>159</v>
      </c>
      <c r="B82" s="111"/>
      <c r="C82" s="111"/>
      <c r="E82" s="32">
        <v>5</v>
      </c>
      <c r="F82" s="143" t="s">
        <v>12</v>
      </c>
      <c r="G82" s="32" t="s">
        <v>70</v>
      </c>
      <c r="H82" s="32" t="s">
        <v>10</v>
      </c>
      <c r="I82" s="100"/>
      <c r="J82" s="49"/>
      <c r="K82" s="49"/>
      <c r="L82" s="49"/>
      <c r="M82" s="49"/>
      <c r="N82" s="49">
        <f t="shared" si="5"/>
        <v>0</v>
      </c>
      <c r="O82" s="49"/>
      <c r="P82" s="49"/>
      <c r="Q82" s="49"/>
      <c r="R82" s="49"/>
    </row>
    <row r="83" spans="1:18" s="7" customFormat="1" ht="12.75" hidden="1" customHeight="1" x14ac:dyDescent="0.2">
      <c r="A83" s="86" t="s">
        <v>69</v>
      </c>
      <c r="B83" s="111"/>
      <c r="C83" s="111"/>
      <c r="E83" s="32">
        <v>5</v>
      </c>
      <c r="F83" s="143" t="s">
        <v>12</v>
      </c>
      <c r="G83" s="32" t="s">
        <v>70</v>
      </c>
      <c r="H83" s="32" t="s">
        <v>15</v>
      </c>
      <c r="I83" s="100"/>
      <c r="J83" s="49"/>
      <c r="K83" s="49"/>
      <c r="L83" s="49"/>
      <c r="M83" s="49"/>
      <c r="N83" s="49">
        <f t="shared" si="5"/>
        <v>0</v>
      </c>
      <c r="O83" s="49"/>
      <c r="P83" s="49"/>
      <c r="Q83" s="49"/>
      <c r="R83" s="49"/>
    </row>
    <row r="84" spans="1:18" s="7" customFormat="1" ht="12.75" hidden="1" customHeight="1" x14ac:dyDescent="0.2">
      <c r="A84" s="86" t="s">
        <v>160</v>
      </c>
      <c r="B84" s="111"/>
      <c r="C84" s="111"/>
      <c r="E84" s="32">
        <v>5</v>
      </c>
      <c r="F84" s="143" t="s">
        <v>12</v>
      </c>
      <c r="G84" s="32" t="s">
        <v>163</v>
      </c>
      <c r="H84" s="32" t="s">
        <v>8</v>
      </c>
      <c r="I84" s="100"/>
      <c r="J84" s="49"/>
      <c r="K84" s="49"/>
      <c r="L84" s="49"/>
      <c r="M84" s="49"/>
      <c r="N84" s="49">
        <f t="shared" si="5"/>
        <v>0</v>
      </c>
      <c r="O84" s="49"/>
      <c r="P84" s="49"/>
      <c r="Q84" s="49"/>
      <c r="R84" s="49"/>
    </row>
    <row r="85" spans="1:18" s="7" customFormat="1" ht="12.75" hidden="1" customHeight="1" x14ac:dyDescent="0.2">
      <c r="A85" s="86" t="s">
        <v>161</v>
      </c>
      <c r="B85" s="111"/>
      <c r="C85" s="111"/>
      <c r="E85" s="32">
        <v>5</v>
      </c>
      <c r="F85" s="143" t="s">
        <v>12</v>
      </c>
      <c r="G85" s="32" t="s">
        <v>163</v>
      </c>
      <c r="H85" s="140" t="s">
        <v>49</v>
      </c>
      <c r="I85" s="100"/>
      <c r="J85" s="49"/>
      <c r="K85" s="49"/>
      <c r="L85" s="49"/>
      <c r="M85" s="49"/>
      <c r="N85" s="49">
        <f t="shared" si="5"/>
        <v>0</v>
      </c>
      <c r="O85" s="49"/>
      <c r="P85" s="49"/>
      <c r="Q85" s="49"/>
      <c r="R85" s="49"/>
    </row>
    <row r="86" spans="1:18" s="7" customFormat="1" ht="12.75" hidden="1" customHeight="1" x14ac:dyDescent="0.2">
      <c r="A86" s="86" t="s">
        <v>71</v>
      </c>
      <c r="B86" s="111"/>
      <c r="C86" s="111"/>
      <c r="E86" s="32">
        <v>5</v>
      </c>
      <c r="F86" s="143" t="s">
        <v>12</v>
      </c>
      <c r="G86" s="32" t="s">
        <v>163</v>
      </c>
      <c r="H86" s="32" t="s">
        <v>10</v>
      </c>
      <c r="I86" s="100"/>
      <c r="J86" s="49"/>
      <c r="K86" s="49"/>
      <c r="L86" s="49"/>
      <c r="M86" s="49"/>
      <c r="N86" s="49">
        <f t="shared" si="5"/>
        <v>0</v>
      </c>
      <c r="O86" s="49"/>
      <c r="P86" s="49"/>
      <c r="Q86" s="49"/>
      <c r="R86" s="49"/>
    </row>
    <row r="87" spans="1:18" s="7" customFormat="1" ht="12.75" hidden="1" customHeight="1" x14ac:dyDescent="0.2">
      <c r="A87" s="86" t="s">
        <v>162</v>
      </c>
      <c r="B87" s="111"/>
      <c r="C87" s="111"/>
      <c r="E87" s="32">
        <v>5</v>
      </c>
      <c r="F87" s="143" t="s">
        <v>12</v>
      </c>
      <c r="G87" s="32" t="s">
        <v>163</v>
      </c>
      <c r="H87" s="32" t="s">
        <v>15</v>
      </c>
      <c r="I87" s="100"/>
      <c r="J87" s="49"/>
      <c r="K87" s="49"/>
      <c r="L87" s="49"/>
      <c r="M87" s="49"/>
      <c r="N87" s="49">
        <f t="shared" si="5"/>
        <v>0</v>
      </c>
      <c r="O87" s="49"/>
      <c r="P87" s="49"/>
      <c r="Q87" s="49"/>
      <c r="R87" s="49"/>
    </row>
    <row r="88" spans="1:18" s="7" customFormat="1" ht="12.75" hidden="1" customHeight="1" x14ac:dyDescent="0.2">
      <c r="A88" s="86" t="s">
        <v>72</v>
      </c>
      <c r="B88" s="111"/>
      <c r="C88" s="111"/>
      <c r="E88" s="32">
        <v>5</v>
      </c>
      <c r="F88" s="143" t="s">
        <v>12</v>
      </c>
      <c r="G88" s="32" t="s">
        <v>70</v>
      </c>
      <c r="H88" s="32" t="s">
        <v>49</v>
      </c>
      <c r="I88" s="100"/>
      <c r="J88" s="49"/>
      <c r="K88" s="49"/>
      <c r="L88" s="49"/>
      <c r="M88" s="49"/>
      <c r="N88" s="49">
        <f t="shared" si="5"/>
        <v>0</v>
      </c>
      <c r="O88" s="49"/>
      <c r="P88" s="49"/>
      <c r="Q88" s="49"/>
      <c r="R88" s="49"/>
    </row>
    <row r="89" spans="1:18" s="7" customFormat="1" ht="12.75" hidden="1" customHeight="1" x14ac:dyDescent="0.2">
      <c r="A89" s="86" t="s">
        <v>164</v>
      </c>
      <c r="B89" s="111"/>
      <c r="C89" s="111"/>
      <c r="E89" s="32">
        <v>5</v>
      </c>
      <c r="F89" s="143" t="s">
        <v>12</v>
      </c>
      <c r="G89" s="32" t="s">
        <v>74</v>
      </c>
      <c r="H89" s="32" t="s">
        <v>10</v>
      </c>
      <c r="I89" s="100"/>
      <c r="J89" s="49"/>
      <c r="K89" s="49"/>
      <c r="L89" s="49"/>
      <c r="M89" s="49"/>
      <c r="N89" s="49">
        <f t="shared" si="5"/>
        <v>0</v>
      </c>
      <c r="O89" s="49"/>
      <c r="P89" s="49"/>
      <c r="Q89" s="49"/>
      <c r="R89" s="49"/>
    </row>
    <row r="90" spans="1:18" s="7" customFormat="1" ht="12.75" hidden="1" customHeight="1" x14ac:dyDescent="0.2">
      <c r="A90" s="86" t="s">
        <v>165</v>
      </c>
      <c r="B90" s="111"/>
      <c r="C90" s="111"/>
      <c r="E90" s="32">
        <v>5</v>
      </c>
      <c r="F90" s="143" t="s">
        <v>12</v>
      </c>
      <c r="G90" s="32" t="s">
        <v>74</v>
      </c>
      <c r="H90" s="32" t="s">
        <v>15</v>
      </c>
      <c r="I90" s="100"/>
      <c r="J90" s="49"/>
      <c r="K90" s="49"/>
      <c r="L90" s="49"/>
      <c r="M90" s="49"/>
      <c r="N90" s="49">
        <f t="shared" si="5"/>
        <v>0</v>
      </c>
      <c r="O90" s="49"/>
      <c r="P90" s="49"/>
      <c r="Q90" s="49"/>
      <c r="R90" s="49"/>
    </row>
    <row r="91" spans="1:18" s="7" customFormat="1" ht="12.75" hidden="1" customHeight="1" x14ac:dyDescent="0.2">
      <c r="A91" s="86" t="s">
        <v>166</v>
      </c>
      <c r="B91" s="111"/>
      <c r="C91" s="111"/>
      <c r="E91" s="32">
        <v>5</v>
      </c>
      <c r="F91" s="143" t="s">
        <v>12</v>
      </c>
      <c r="G91" s="32" t="s">
        <v>74</v>
      </c>
      <c r="H91" s="32" t="s">
        <v>17</v>
      </c>
      <c r="I91" s="100"/>
      <c r="J91" s="49"/>
      <c r="K91" s="49"/>
      <c r="L91" s="49"/>
      <c r="M91" s="49"/>
      <c r="N91" s="49">
        <f t="shared" si="5"/>
        <v>0</v>
      </c>
      <c r="O91" s="49"/>
      <c r="P91" s="49"/>
      <c r="Q91" s="49"/>
      <c r="R91" s="49"/>
    </row>
    <row r="92" spans="1:18" s="7" customFormat="1" ht="12.75" hidden="1" customHeight="1" x14ac:dyDescent="0.2">
      <c r="A92" s="86" t="s">
        <v>167</v>
      </c>
      <c r="B92" s="111"/>
      <c r="C92" s="111"/>
      <c r="E92" s="32">
        <v>5</v>
      </c>
      <c r="F92" s="143" t="s">
        <v>12</v>
      </c>
      <c r="G92" s="32" t="s">
        <v>74</v>
      </c>
      <c r="H92" s="32" t="s">
        <v>8</v>
      </c>
      <c r="I92" s="100"/>
      <c r="J92" s="49"/>
      <c r="K92" s="49"/>
      <c r="L92" s="49"/>
      <c r="M92" s="49"/>
      <c r="N92" s="49">
        <f t="shared" si="5"/>
        <v>0</v>
      </c>
      <c r="O92" s="49"/>
      <c r="P92" s="49"/>
      <c r="Q92" s="49"/>
      <c r="R92" s="49"/>
    </row>
    <row r="93" spans="1:18" s="7" customFormat="1" ht="12.75" hidden="1" customHeight="1" x14ac:dyDescent="0.2">
      <c r="A93" s="86" t="s">
        <v>168</v>
      </c>
      <c r="B93" s="111"/>
      <c r="C93" s="111"/>
      <c r="E93" s="32">
        <v>5</v>
      </c>
      <c r="F93" s="143" t="s">
        <v>12</v>
      </c>
      <c r="G93" s="32" t="s">
        <v>74</v>
      </c>
      <c r="H93" s="32" t="s">
        <v>45</v>
      </c>
      <c r="I93" s="100"/>
      <c r="J93" s="49"/>
      <c r="K93" s="49"/>
      <c r="L93" s="49"/>
      <c r="M93" s="49"/>
      <c r="N93" s="49">
        <f t="shared" si="5"/>
        <v>0</v>
      </c>
      <c r="O93" s="49"/>
      <c r="P93" s="49"/>
      <c r="Q93" s="49"/>
      <c r="R93" s="49"/>
    </row>
    <row r="94" spans="1:18" s="7" customFormat="1" ht="12.75" customHeight="1" x14ac:dyDescent="0.2">
      <c r="A94" s="86" t="s">
        <v>73</v>
      </c>
      <c r="B94" s="111"/>
      <c r="C94" s="111"/>
      <c r="E94" s="32">
        <v>5</v>
      </c>
      <c r="F94" s="143" t="s">
        <v>12</v>
      </c>
      <c r="G94" s="32" t="s">
        <v>74</v>
      </c>
      <c r="H94" s="32" t="s">
        <v>64</v>
      </c>
      <c r="I94" s="100"/>
      <c r="J94" s="49">
        <v>22500</v>
      </c>
      <c r="K94" s="49"/>
      <c r="L94" s="49"/>
      <c r="M94" s="49"/>
      <c r="N94" s="49">
        <f t="shared" si="5"/>
        <v>0</v>
      </c>
      <c r="O94" s="49"/>
      <c r="P94" s="49"/>
      <c r="Q94" s="49"/>
      <c r="R94" s="49"/>
    </row>
    <row r="95" spans="1:18" s="7" customFormat="1" ht="12.75" hidden="1" customHeight="1" x14ac:dyDescent="0.2">
      <c r="A95" s="86" t="s">
        <v>75</v>
      </c>
      <c r="B95" s="111"/>
      <c r="C95" s="111"/>
      <c r="E95" s="32">
        <v>5</v>
      </c>
      <c r="F95" s="143" t="s">
        <v>12</v>
      </c>
      <c r="G95" s="32" t="s">
        <v>74</v>
      </c>
      <c r="H95" s="32" t="s">
        <v>19</v>
      </c>
      <c r="I95" s="100"/>
      <c r="J95" s="49"/>
      <c r="K95" s="49"/>
      <c r="L95" s="49"/>
      <c r="M95" s="49"/>
      <c r="N95" s="49">
        <f t="shared" si="5"/>
        <v>0</v>
      </c>
      <c r="O95" s="49"/>
      <c r="P95" s="49"/>
      <c r="Q95" s="49"/>
      <c r="R95" s="49"/>
    </row>
    <row r="96" spans="1:18" s="7" customFormat="1" ht="12.75" hidden="1" customHeight="1" x14ac:dyDescent="0.2">
      <c r="A96" s="86" t="s">
        <v>76</v>
      </c>
      <c r="B96" s="111"/>
      <c r="C96" s="111"/>
      <c r="E96" s="32">
        <v>5</v>
      </c>
      <c r="F96" s="143" t="s">
        <v>12</v>
      </c>
      <c r="G96" s="32" t="s">
        <v>74</v>
      </c>
      <c r="H96" s="32" t="s">
        <v>60</v>
      </c>
      <c r="I96" s="100"/>
      <c r="J96" s="49"/>
      <c r="K96" s="49"/>
      <c r="L96" s="49"/>
      <c r="M96" s="49"/>
      <c r="N96" s="49">
        <f t="shared" si="5"/>
        <v>0</v>
      </c>
      <c r="O96" s="49"/>
      <c r="P96" s="49"/>
      <c r="Q96" s="49"/>
      <c r="R96" s="49"/>
    </row>
    <row r="97" spans="1:18" s="7" customFormat="1" ht="12.75" hidden="1" customHeight="1" x14ac:dyDescent="0.2">
      <c r="A97" s="86" t="s">
        <v>77</v>
      </c>
      <c r="B97" s="111"/>
      <c r="C97" s="111"/>
      <c r="E97" s="32">
        <v>5</v>
      </c>
      <c r="F97" s="143" t="s">
        <v>12</v>
      </c>
      <c r="G97" s="32" t="s">
        <v>74</v>
      </c>
      <c r="H97" s="32" t="s">
        <v>49</v>
      </c>
      <c r="I97" s="100"/>
      <c r="J97" s="49">
        <v>0</v>
      </c>
      <c r="K97" s="49"/>
      <c r="L97" s="49"/>
      <c r="M97" s="49"/>
      <c r="N97" s="49">
        <f t="shared" si="5"/>
        <v>0</v>
      </c>
      <c r="O97" s="49"/>
      <c r="P97" s="49"/>
      <c r="Q97" s="49"/>
      <c r="R97" s="49"/>
    </row>
    <row r="98" spans="1:18" s="7" customFormat="1" ht="12.75" hidden="1" customHeight="1" x14ac:dyDescent="0.2">
      <c r="A98" s="86" t="s">
        <v>165</v>
      </c>
      <c r="B98" s="111"/>
      <c r="C98" s="111"/>
      <c r="E98" s="32">
        <v>5</v>
      </c>
      <c r="F98" s="143" t="s">
        <v>12</v>
      </c>
      <c r="G98" s="32" t="s">
        <v>74</v>
      </c>
      <c r="H98" s="32" t="s">
        <v>15</v>
      </c>
      <c r="I98" s="100"/>
      <c r="J98" s="49"/>
      <c r="K98" s="49"/>
      <c r="L98" s="49"/>
      <c r="M98" s="49"/>
      <c r="N98" s="49">
        <f t="shared" si="5"/>
        <v>0</v>
      </c>
      <c r="O98" s="49"/>
      <c r="P98" s="49"/>
      <c r="Q98" s="49"/>
      <c r="R98" s="49"/>
    </row>
    <row r="99" spans="1:18" s="7" customFormat="1" ht="12.75" hidden="1" customHeight="1" x14ac:dyDescent="0.2">
      <c r="A99" s="86" t="s">
        <v>78</v>
      </c>
      <c r="B99" s="111"/>
      <c r="C99" s="111"/>
      <c r="E99" s="32">
        <v>5</v>
      </c>
      <c r="F99" s="143" t="s">
        <v>12</v>
      </c>
      <c r="G99" s="32" t="s">
        <v>79</v>
      </c>
      <c r="H99" s="32" t="s">
        <v>10</v>
      </c>
      <c r="I99" s="100"/>
      <c r="J99" s="49"/>
      <c r="K99" s="49"/>
      <c r="L99" s="49"/>
      <c r="M99" s="49"/>
      <c r="N99" s="49">
        <f t="shared" si="5"/>
        <v>0</v>
      </c>
      <c r="O99" s="49"/>
      <c r="P99" s="49"/>
      <c r="Q99" s="49"/>
      <c r="R99" s="49"/>
    </row>
    <row r="100" spans="1:18" s="7" customFormat="1" ht="12.75" hidden="1" customHeight="1" x14ac:dyDescent="0.2">
      <c r="A100" s="86" t="s">
        <v>80</v>
      </c>
      <c r="B100" s="111"/>
      <c r="C100" s="111"/>
      <c r="E100" s="32">
        <v>5</v>
      </c>
      <c r="F100" s="143" t="s">
        <v>12</v>
      </c>
      <c r="G100" s="32" t="s">
        <v>79</v>
      </c>
      <c r="H100" s="32" t="s">
        <v>15</v>
      </c>
      <c r="I100" s="100"/>
      <c r="J100" s="49"/>
      <c r="K100" s="49"/>
      <c r="L100" s="49"/>
      <c r="M100" s="49"/>
      <c r="N100" s="49">
        <f t="shared" si="5"/>
        <v>0</v>
      </c>
      <c r="O100" s="49"/>
      <c r="P100" s="49"/>
      <c r="Q100" s="49"/>
      <c r="R100" s="49"/>
    </row>
    <row r="101" spans="1:18" s="7" customFormat="1" ht="12.75" hidden="1" customHeight="1" x14ac:dyDescent="0.2">
      <c r="A101" s="86" t="s">
        <v>169</v>
      </c>
      <c r="B101" s="111"/>
      <c r="C101" s="111"/>
      <c r="E101" s="32">
        <v>5</v>
      </c>
      <c r="F101" s="143" t="s">
        <v>12</v>
      </c>
      <c r="G101" s="32" t="s">
        <v>79</v>
      </c>
      <c r="H101" s="143" t="s">
        <v>60</v>
      </c>
      <c r="I101" s="100"/>
      <c r="J101" s="49"/>
      <c r="K101" s="49"/>
      <c r="L101" s="49"/>
      <c r="M101" s="49"/>
      <c r="N101" s="49">
        <f t="shared" si="5"/>
        <v>0</v>
      </c>
      <c r="O101" s="49"/>
      <c r="P101" s="49"/>
      <c r="Q101" s="49"/>
      <c r="R101" s="49"/>
    </row>
    <row r="102" spans="1:18" s="7" customFormat="1" ht="12.75" hidden="1" customHeight="1" x14ac:dyDescent="0.2">
      <c r="A102" s="86" t="s">
        <v>170</v>
      </c>
      <c r="B102" s="111"/>
      <c r="C102" s="111"/>
      <c r="E102" s="32">
        <v>5</v>
      </c>
      <c r="F102" s="143" t="s">
        <v>12</v>
      </c>
      <c r="G102" s="32" t="s">
        <v>79</v>
      </c>
      <c r="H102" s="143" t="s">
        <v>19</v>
      </c>
      <c r="I102" s="100"/>
      <c r="J102" s="49"/>
      <c r="K102" s="49"/>
      <c r="L102" s="49"/>
      <c r="M102" s="49"/>
      <c r="N102" s="49">
        <f t="shared" si="5"/>
        <v>0</v>
      </c>
      <c r="O102" s="49"/>
      <c r="P102" s="49"/>
      <c r="Q102" s="49"/>
      <c r="R102" s="49"/>
    </row>
    <row r="103" spans="1:18" s="7" customFormat="1" ht="12.75" hidden="1" customHeight="1" x14ac:dyDescent="0.2">
      <c r="A103" s="86" t="s">
        <v>171</v>
      </c>
      <c r="B103" s="111"/>
      <c r="C103" s="111"/>
      <c r="E103" s="32">
        <v>5</v>
      </c>
      <c r="F103" s="143" t="s">
        <v>12</v>
      </c>
      <c r="G103" s="32" t="s">
        <v>79</v>
      </c>
      <c r="H103" s="143" t="s">
        <v>82</v>
      </c>
      <c r="I103" s="100"/>
      <c r="J103" s="49"/>
      <c r="K103" s="49"/>
      <c r="L103" s="49"/>
      <c r="M103" s="49"/>
      <c r="N103" s="49">
        <f t="shared" si="5"/>
        <v>0</v>
      </c>
      <c r="O103" s="49"/>
      <c r="P103" s="49"/>
      <c r="Q103" s="49"/>
      <c r="R103" s="49"/>
    </row>
    <row r="104" spans="1:18" s="7" customFormat="1" ht="12.75" hidden="1" customHeight="1" x14ac:dyDescent="0.2">
      <c r="A104" s="86" t="s">
        <v>81</v>
      </c>
      <c r="B104" s="111"/>
      <c r="C104" s="111"/>
      <c r="E104" s="32">
        <v>5</v>
      </c>
      <c r="F104" s="143" t="s">
        <v>12</v>
      </c>
      <c r="G104" s="32" t="s">
        <v>59</v>
      </c>
      <c r="H104" s="143" t="s">
        <v>82</v>
      </c>
      <c r="I104" s="100"/>
      <c r="J104" s="49"/>
      <c r="K104" s="49"/>
      <c r="L104" s="49"/>
      <c r="M104" s="49"/>
      <c r="N104" s="49">
        <f t="shared" si="5"/>
        <v>0</v>
      </c>
      <c r="O104" s="49"/>
      <c r="P104" s="49"/>
      <c r="Q104" s="49"/>
      <c r="R104" s="49"/>
    </row>
    <row r="105" spans="1:18" s="7" customFormat="1" ht="12.75" hidden="1" customHeight="1" x14ac:dyDescent="0.2">
      <c r="A105" s="86" t="s">
        <v>83</v>
      </c>
      <c r="B105" s="111"/>
      <c r="C105" s="111"/>
      <c r="E105" s="32">
        <v>5</v>
      </c>
      <c r="F105" s="143" t="s">
        <v>12</v>
      </c>
      <c r="G105" s="32" t="s">
        <v>84</v>
      </c>
      <c r="H105" s="143" t="s">
        <v>8</v>
      </c>
      <c r="I105" s="100"/>
      <c r="J105" s="49"/>
      <c r="K105" s="49"/>
      <c r="L105" s="49"/>
      <c r="M105" s="49"/>
      <c r="N105" s="49">
        <f t="shared" si="5"/>
        <v>0</v>
      </c>
      <c r="O105" s="49"/>
      <c r="P105" s="49"/>
      <c r="Q105" s="49"/>
      <c r="R105" s="49"/>
    </row>
    <row r="106" spans="1:18" s="7" customFormat="1" ht="12.75" hidden="1" customHeight="1" x14ac:dyDescent="0.2">
      <c r="A106" s="86" t="s">
        <v>85</v>
      </c>
      <c r="B106" s="111"/>
      <c r="C106" s="111"/>
      <c r="E106" s="32">
        <v>5</v>
      </c>
      <c r="F106" s="143" t="s">
        <v>12</v>
      </c>
      <c r="G106" s="32" t="s">
        <v>84</v>
      </c>
      <c r="H106" s="143" t="s">
        <v>10</v>
      </c>
      <c r="I106" s="100"/>
      <c r="J106" s="49"/>
      <c r="K106" s="49"/>
      <c r="L106" s="49"/>
      <c r="M106" s="49"/>
      <c r="N106" s="49">
        <f t="shared" si="5"/>
        <v>0</v>
      </c>
      <c r="O106" s="49"/>
      <c r="P106" s="49"/>
      <c r="Q106" s="49"/>
      <c r="R106" s="49"/>
    </row>
    <row r="107" spans="1:18" s="7" customFormat="1" ht="12.75" hidden="1" customHeight="1" x14ac:dyDescent="0.2">
      <c r="A107" s="86" t="s">
        <v>86</v>
      </c>
      <c r="B107" s="111"/>
      <c r="C107" s="111"/>
      <c r="E107" s="32">
        <v>5</v>
      </c>
      <c r="F107" s="143" t="s">
        <v>12</v>
      </c>
      <c r="G107" s="32" t="s">
        <v>84</v>
      </c>
      <c r="H107" s="143" t="s">
        <v>15</v>
      </c>
      <c r="I107" s="100"/>
      <c r="J107" s="49"/>
      <c r="K107" s="49"/>
      <c r="L107" s="49"/>
      <c r="M107" s="49"/>
      <c r="N107" s="49">
        <f t="shared" si="5"/>
        <v>0</v>
      </c>
      <c r="O107" s="49"/>
      <c r="P107" s="49"/>
      <c r="Q107" s="49"/>
      <c r="R107" s="49"/>
    </row>
    <row r="108" spans="1:18" s="7" customFormat="1" ht="12.75" customHeight="1" x14ac:dyDescent="0.2">
      <c r="A108" s="86" t="s">
        <v>172</v>
      </c>
      <c r="B108" s="111"/>
      <c r="C108" s="111"/>
      <c r="E108" s="32">
        <v>5</v>
      </c>
      <c r="F108" s="143" t="s">
        <v>12</v>
      </c>
      <c r="G108" s="32" t="s">
        <v>174</v>
      </c>
      <c r="H108" s="143" t="s">
        <v>8</v>
      </c>
      <c r="I108" s="100"/>
      <c r="J108" s="49">
        <v>4863399.43</v>
      </c>
      <c r="K108" s="49"/>
      <c r="L108" s="49"/>
      <c r="M108" s="49"/>
      <c r="N108" s="49">
        <f t="shared" si="5"/>
        <v>6600000</v>
      </c>
      <c r="O108" s="49"/>
      <c r="P108" s="49">
        <v>6600000</v>
      </c>
      <c r="Q108" s="49"/>
      <c r="R108" s="49">
        <v>6600000</v>
      </c>
    </row>
    <row r="109" spans="1:18" s="7" customFormat="1" ht="12.75" customHeight="1" x14ac:dyDescent="0.2">
      <c r="A109" s="86" t="s">
        <v>173</v>
      </c>
      <c r="B109" s="111"/>
      <c r="C109" s="111"/>
      <c r="E109" s="32">
        <v>5</v>
      </c>
      <c r="F109" s="143" t="s">
        <v>12</v>
      </c>
      <c r="G109" s="32" t="s">
        <v>174</v>
      </c>
      <c r="H109" s="143" t="s">
        <v>10</v>
      </c>
      <c r="I109" s="100"/>
      <c r="J109" s="49">
        <v>207029.05</v>
      </c>
      <c r="K109" s="49"/>
      <c r="L109" s="49">
        <v>128527.8</v>
      </c>
      <c r="M109" s="49"/>
      <c r="N109" s="49">
        <f t="shared" si="5"/>
        <v>171472.2</v>
      </c>
      <c r="O109" s="49"/>
      <c r="P109" s="49">
        <v>300000</v>
      </c>
      <c r="Q109" s="49"/>
      <c r="R109" s="49">
        <v>300000</v>
      </c>
    </row>
    <row r="110" spans="1:18" s="7" customFormat="1" ht="12.75" customHeight="1" x14ac:dyDescent="0.2">
      <c r="A110" s="86" t="s">
        <v>87</v>
      </c>
      <c r="B110" s="111"/>
      <c r="C110" s="111"/>
      <c r="E110" s="32">
        <v>5</v>
      </c>
      <c r="F110" s="143" t="s">
        <v>12</v>
      </c>
      <c r="G110" s="32" t="s">
        <v>174</v>
      </c>
      <c r="H110" s="143" t="s">
        <v>15</v>
      </c>
      <c r="I110" s="100"/>
      <c r="J110" s="49">
        <v>0</v>
      </c>
      <c r="K110" s="49"/>
      <c r="L110" s="49"/>
      <c r="M110" s="49"/>
      <c r="N110" s="49">
        <f t="shared" si="5"/>
        <v>5500</v>
      </c>
      <c r="O110" s="49"/>
      <c r="P110" s="49">
        <v>5500</v>
      </c>
      <c r="Q110" s="49"/>
      <c r="R110" s="49">
        <v>5500</v>
      </c>
    </row>
    <row r="111" spans="1:18" s="7" customFormat="1" ht="12.75" customHeight="1" x14ac:dyDescent="0.2">
      <c r="A111" s="86" t="s">
        <v>61</v>
      </c>
      <c r="B111" s="111"/>
      <c r="C111" s="111"/>
      <c r="E111" s="32">
        <v>5</v>
      </c>
      <c r="F111" s="143" t="s">
        <v>12</v>
      </c>
      <c r="G111" s="32" t="s">
        <v>59</v>
      </c>
      <c r="H111" s="32" t="s">
        <v>8</v>
      </c>
      <c r="I111" s="100"/>
      <c r="J111" s="49">
        <v>141320</v>
      </c>
      <c r="K111" s="49"/>
      <c r="L111" s="49">
        <v>172972.79999999999</v>
      </c>
      <c r="M111" s="49"/>
      <c r="N111" s="49">
        <f t="shared" si="5"/>
        <v>827027.2</v>
      </c>
      <c r="O111" s="49"/>
      <c r="P111" s="49">
        <v>1000000</v>
      </c>
      <c r="Q111" s="49"/>
      <c r="R111" s="49">
        <v>800000</v>
      </c>
    </row>
    <row r="112" spans="1:18" s="7" customFormat="1" ht="12.75" customHeight="1" x14ac:dyDescent="0.2">
      <c r="A112" s="86" t="s">
        <v>260</v>
      </c>
      <c r="B112" s="111"/>
      <c r="C112" s="111"/>
      <c r="E112" s="32">
        <v>5</v>
      </c>
      <c r="F112" s="143" t="s">
        <v>12</v>
      </c>
      <c r="G112" s="139">
        <v>99</v>
      </c>
      <c r="H112" s="144">
        <v>990</v>
      </c>
      <c r="I112" s="100"/>
      <c r="J112" s="49">
        <v>816845.02</v>
      </c>
      <c r="K112" s="49"/>
      <c r="L112" s="49">
        <v>252768.01</v>
      </c>
      <c r="M112" s="49"/>
      <c r="N112" s="49">
        <f t="shared" si="5"/>
        <v>847231.99</v>
      </c>
      <c r="O112" s="49"/>
      <c r="P112" s="49">
        <v>1100000</v>
      </c>
      <c r="Q112" s="49"/>
      <c r="R112" s="49">
        <v>1000000</v>
      </c>
    </row>
    <row r="113" spans="1:18" s="7" customFormat="1" ht="18.95" customHeight="1" x14ac:dyDescent="0.2">
      <c r="A113" s="314" t="s">
        <v>191</v>
      </c>
      <c r="B113" s="314"/>
      <c r="C113" s="314"/>
      <c r="J113" s="161">
        <f>SUM(J45:J112)</f>
        <v>7798350.0999999996</v>
      </c>
      <c r="K113" s="162"/>
      <c r="L113" s="161">
        <f>SUM(L45:L112)</f>
        <v>727710.1</v>
      </c>
      <c r="M113" s="36"/>
      <c r="N113" s="161">
        <f>SUM(N45:N112)</f>
        <v>10386789.899999999</v>
      </c>
      <c r="O113" s="36"/>
      <c r="P113" s="161">
        <f>SUM(P45:P112)</f>
        <v>11114500</v>
      </c>
      <c r="Q113" s="36"/>
      <c r="R113" s="161">
        <f>SUM(R45:R112)</f>
        <v>11114500</v>
      </c>
    </row>
    <row r="114" spans="1:18" s="7" customFormat="1" ht="6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.75" customHeight="1" x14ac:dyDescent="0.2">
      <c r="A115" s="68" t="s">
        <v>190</v>
      </c>
      <c r="B115" s="20"/>
      <c r="C115" s="20"/>
      <c r="J115" s="162"/>
      <c r="K115" s="162"/>
      <c r="L115" s="36"/>
      <c r="M115" s="36"/>
      <c r="N115" s="36"/>
      <c r="O115" s="36"/>
      <c r="P115" s="36"/>
      <c r="Q115" s="36"/>
      <c r="R115" s="36"/>
    </row>
    <row r="116" spans="1:18" s="7" customFormat="1" ht="15" customHeight="1" x14ac:dyDescent="0.2">
      <c r="A116" s="71" t="s">
        <v>91</v>
      </c>
      <c r="B116" s="20"/>
      <c r="C116" s="20"/>
      <c r="J116" s="162"/>
      <c r="K116" s="162"/>
      <c r="L116" s="36"/>
      <c r="M116" s="36"/>
      <c r="N116" s="36"/>
      <c r="O116" s="36"/>
      <c r="P116" s="36"/>
      <c r="Q116" s="36"/>
      <c r="R116" s="36"/>
    </row>
    <row r="117" spans="1:18" s="7" customFormat="1" ht="15" customHeight="1" x14ac:dyDescent="0.2">
      <c r="A117" s="33" t="s">
        <v>96</v>
      </c>
      <c r="B117" s="157"/>
      <c r="C117" s="157"/>
      <c r="D117" s="157"/>
      <c r="E117" s="180" t="s">
        <v>286</v>
      </c>
      <c r="F117" s="143" t="s">
        <v>93</v>
      </c>
      <c r="G117" s="32" t="s">
        <v>54</v>
      </c>
      <c r="H117" s="32" t="s">
        <v>10</v>
      </c>
      <c r="I117" s="101"/>
      <c r="J117" s="177">
        <v>0</v>
      </c>
      <c r="K117" s="177"/>
      <c r="L117" s="177"/>
      <c r="M117" s="177"/>
      <c r="N117" s="49">
        <f t="shared" ref="N117" si="6">P117-L117</f>
        <v>0</v>
      </c>
      <c r="O117" s="177"/>
      <c r="P117" s="177"/>
      <c r="Q117" s="177"/>
      <c r="R117" s="177">
        <v>75000</v>
      </c>
    </row>
    <row r="118" spans="1:18" s="7" customFormat="1" ht="15" customHeight="1" x14ac:dyDescent="0.2">
      <c r="A118" s="33" t="s">
        <v>322</v>
      </c>
      <c r="B118" s="157"/>
      <c r="C118" s="157"/>
      <c r="D118" s="157"/>
      <c r="E118" s="180"/>
      <c r="F118" s="143"/>
      <c r="G118" s="32"/>
      <c r="H118" s="32"/>
      <c r="I118" s="101"/>
      <c r="J118" s="177"/>
      <c r="K118" s="177"/>
      <c r="L118" s="177"/>
      <c r="M118" s="177"/>
      <c r="N118" s="49"/>
      <c r="O118" s="177"/>
      <c r="P118" s="177"/>
      <c r="Q118" s="177"/>
      <c r="R118" s="177">
        <v>67200</v>
      </c>
    </row>
    <row r="119" spans="1:18" s="7" customFormat="1" ht="15" customHeight="1" x14ac:dyDescent="0.2">
      <c r="A119" s="33" t="s">
        <v>310</v>
      </c>
      <c r="B119" s="157"/>
      <c r="C119" s="157"/>
      <c r="D119" s="157"/>
      <c r="E119" s="180" t="s">
        <v>286</v>
      </c>
      <c r="F119" s="143" t="s">
        <v>93</v>
      </c>
      <c r="G119" s="140" t="s">
        <v>54</v>
      </c>
      <c r="H119" s="140" t="s">
        <v>15</v>
      </c>
      <c r="I119" s="101"/>
      <c r="J119" s="177"/>
      <c r="K119" s="177"/>
      <c r="L119" s="177"/>
      <c r="M119" s="177"/>
      <c r="N119" s="177"/>
      <c r="O119" s="177"/>
      <c r="P119" s="177"/>
      <c r="Q119" s="177"/>
      <c r="R119" s="177">
        <v>85000</v>
      </c>
    </row>
    <row r="120" spans="1:18" s="7" customFormat="1" ht="15" customHeight="1" x14ac:dyDescent="0.2">
      <c r="A120" s="33" t="s">
        <v>107</v>
      </c>
      <c r="B120" s="157"/>
      <c r="C120" s="157"/>
      <c r="D120" s="157"/>
      <c r="E120" s="180" t="s">
        <v>286</v>
      </c>
      <c r="F120" s="143" t="s">
        <v>93</v>
      </c>
      <c r="G120" s="139">
        <v>99</v>
      </c>
      <c r="H120" s="144">
        <v>990</v>
      </c>
      <c r="I120" s="100"/>
      <c r="J120" s="177"/>
      <c r="K120" s="177"/>
      <c r="L120" s="177"/>
      <c r="M120" s="177"/>
      <c r="N120" s="177"/>
      <c r="O120" s="177"/>
      <c r="P120" s="177"/>
      <c r="Q120" s="177"/>
      <c r="R120" s="177">
        <v>0</v>
      </c>
    </row>
    <row r="121" spans="1:18" s="7" customFormat="1" ht="18.75" customHeight="1" x14ac:dyDescent="0.2">
      <c r="A121" s="102" t="s">
        <v>108</v>
      </c>
      <c r="B121" s="26"/>
      <c r="C121" s="26"/>
      <c r="D121" s="27"/>
      <c r="E121" s="27"/>
      <c r="F121" s="27"/>
      <c r="G121" s="27"/>
      <c r="H121" s="27"/>
      <c r="I121" s="27"/>
      <c r="J121" s="21">
        <f>SUM(J117:J120)</f>
        <v>0</v>
      </c>
      <c r="K121" s="23"/>
      <c r="L121" s="21">
        <f>SUM(L117:L120)</f>
        <v>0</v>
      </c>
      <c r="M121" s="23"/>
      <c r="N121" s="21">
        <f>SUM(N117:N120)</f>
        <v>0</v>
      </c>
      <c r="O121" s="23"/>
      <c r="P121" s="21">
        <f>SUM(P117:P120)</f>
        <v>0</v>
      </c>
      <c r="Q121" s="23"/>
      <c r="R121" s="21">
        <f>SUM(R117:R120)</f>
        <v>227200</v>
      </c>
    </row>
    <row r="122" spans="1:18" s="7" customFormat="1" ht="6" customHeight="1" x14ac:dyDescent="0.2">
      <c r="A122" s="20"/>
      <c r="B122" s="20"/>
      <c r="C122" s="20"/>
      <c r="J122" s="162"/>
      <c r="K122" s="162"/>
      <c r="L122" s="36"/>
      <c r="M122" s="36"/>
      <c r="N122" s="36"/>
      <c r="O122" s="36"/>
      <c r="P122" s="36"/>
      <c r="Q122" s="36"/>
      <c r="R122" s="36"/>
    </row>
    <row r="123" spans="1:18" s="7" customFormat="1" ht="12.75" customHeight="1" x14ac:dyDescent="0.2">
      <c r="A123" s="69" t="s">
        <v>189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2.75" customHeight="1" x14ac:dyDescent="0.2">
      <c r="A124" s="86" t="s">
        <v>109</v>
      </c>
      <c r="E124" s="112">
        <v>5</v>
      </c>
      <c r="F124" s="113" t="s">
        <v>29</v>
      </c>
      <c r="G124" s="112" t="s">
        <v>7</v>
      </c>
      <c r="H124" s="112" t="s">
        <v>17</v>
      </c>
      <c r="J124" s="36">
        <v>55925</v>
      </c>
      <c r="K124" s="36"/>
      <c r="L124" s="36">
        <v>10310</v>
      </c>
      <c r="M124" s="36"/>
      <c r="N124" s="36">
        <f>P124-L124</f>
        <v>209690</v>
      </c>
      <c r="O124" s="36"/>
      <c r="P124" s="36">
        <v>220000</v>
      </c>
      <c r="Q124" s="36"/>
      <c r="R124" s="36">
        <v>220000</v>
      </c>
    </row>
    <row r="125" spans="1:18" s="7" customFormat="1" ht="12" hidden="1" customHeight="1" x14ac:dyDescent="0.2">
      <c r="A125" s="86" t="s">
        <v>180</v>
      </c>
      <c r="E125" s="112">
        <v>5</v>
      </c>
      <c r="F125" s="113" t="s">
        <v>29</v>
      </c>
      <c r="G125" s="112" t="s">
        <v>7</v>
      </c>
      <c r="H125" s="112" t="s">
        <v>64</v>
      </c>
      <c r="J125" s="36"/>
      <c r="K125" s="36"/>
      <c r="L125" s="36"/>
      <c r="M125" s="36"/>
      <c r="N125" s="36">
        <f>P125-L125</f>
        <v>0</v>
      </c>
      <c r="O125" s="36"/>
      <c r="P125" s="36"/>
      <c r="Q125" s="36"/>
      <c r="R125" s="36"/>
    </row>
    <row r="126" spans="1:18" s="7" customFormat="1" ht="12.75" customHeight="1" x14ac:dyDescent="0.2">
      <c r="A126" s="86" t="s">
        <v>181</v>
      </c>
      <c r="E126" s="112">
        <v>5</v>
      </c>
      <c r="F126" s="113" t="s">
        <v>29</v>
      </c>
      <c r="G126" s="112" t="s">
        <v>7</v>
      </c>
      <c r="H126" s="114" t="s">
        <v>49</v>
      </c>
      <c r="J126" s="36">
        <v>1244310.1599999999</v>
      </c>
      <c r="K126" s="36"/>
      <c r="L126" s="36"/>
      <c r="M126" s="36"/>
      <c r="N126" s="36">
        <f>P126-L126</f>
        <v>3300000</v>
      </c>
      <c r="O126" s="36"/>
      <c r="P126" s="36">
        <v>3300000</v>
      </c>
      <c r="Q126" s="36"/>
      <c r="R126" s="36">
        <v>3300000</v>
      </c>
    </row>
    <row r="127" spans="1:18" s="7" customFormat="1" ht="12" hidden="1" customHeight="1" x14ac:dyDescent="0.2">
      <c r="A127" s="86" t="s">
        <v>181</v>
      </c>
      <c r="E127" s="112">
        <v>5</v>
      </c>
      <c r="F127" s="113" t="s">
        <v>29</v>
      </c>
      <c r="G127" s="112" t="s">
        <v>7</v>
      </c>
      <c r="H127" s="114" t="s">
        <v>49</v>
      </c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" hidden="1" customHeight="1" x14ac:dyDescent="0.2">
      <c r="A128" s="86" t="s">
        <v>182</v>
      </c>
      <c r="E128" s="112">
        <v>5</v>
      </c>
      <c r="F128" s="113" t="s">
        <v>29</v>
      </c>
      <c r="G128" s="112" t="s">
        <v>7</v>
      </c>
      <c r="H128" s="112" t="s">
        <v>10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" hidden="1" customHeight="1" x14ac:dyDescent="0.2">
      <c r="A129" s="86" t="s">
        <v>181</v>
      </c>
      <c r="E129" s="112">
        <v>5</v>
      </c>
      <c r="F129" s="113" t="s">
        <v>29</v>
      </c>
      <c r="G129" s="112" t="s">
        <v>7</v>
      </c>
      <c r="H129" s="114" t="s">
        <v>49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" hidden="1" customHeight="1" x14ac:dyDescent="0.2">
      <c r="A130" s="86" t="s">
        <v>183</v>
      </c>
      <c r="E130" s="112">
        <v>5</v>
      </c>
      <c r="F130" s="113" t="s">
        <v>29</v>
      </c>
      <c r="G130" s="112" t="s">
        <v>7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" hidden="1" customHeight="1" x14ac:dyDescent="0.2">
      <c r="A131" s="86" t="s">
        <v>184</v>
      </c>
      <c r="E131" s="112">
        <v>5</v>
      </c>
      <c r="F131" s="113" t="s">
        <v>29</v>
      </c>
      <c r="G131" s="112" t="s">
        <v>7</v>
      </c>
      <c r="H131" s="112" t="s">
        <v>15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8.75" customHeight="1" x14ac:dyDescent="0.2">
      <c r="A132" s="102" t="s">
        <v>185</v>
      </c>
      <c r="J132" s="161">
        <f>SUM(J124:J131)</f>
        <v>1300235.1599999999</v>
      </c>
      <c r="K132" s="162"/>
      <c r="L132" s="161">
        <f>SUM(L124:L131)</f>
        <v>10310</v>
      </c>
      <c r="M132" s="162"/>
      <c r="N132" s="161">
        <f>SUM(N124:N131)</f>
        <v>3509690</v>
      </c>
      <c r="O132" s="162"/>
      <c r="P132" s="161">
        <f>SUM(P124:P131)</f>
        <v>3520000</v>
      </c>
      <c r="Q132" s="162"/>
      <c r="R132" s="170">
        <f>SUM(R124:R126)</f>
        <v>3520000</v>
      </c>
    </row>
    <row r="133" spans="1:18" s="7" customFormat="1" ht="12.75" hidden="1" customHeight="1" x14ac:dyDescent="0.2">
      <c r="A133" s="11" t="s">
        <v>89</v>
      </c>
      <c r="B133" s="24"/>
      <c r="C133" s="24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hidden="1" customHeight="1" x14ac:dyDescent="0.2">
      <c r="A134" s="70" t="s">
        <v>90</v>
      </c>
      <c r="B134" s="9"/>
      <c r="C134" s="9"/>
      <c r="E134" s="112">
        <v>1</v>
      </c>
      <c r="F134" s="113" t="s">
        <v>12</v>
      </c>
      <c r="G134" s="112" t="s">
        <v>54</v>
      </c>
      <c r="H134" s="114" t="s">
        <v>10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hidden="1" customHeight="1" x14ac:dyDescent="0.2">
      <c r="A135" s="86" t="s">
        <v>92</v>
      </c>
      <c r="B135" s="111"/>
      <c r="C135" s="111"/>
      <c r="E135" s="112">
        <v>1</v>
      </c>
      <c r="F135" s="113" t="s">
        <v>93</v>
      </c>
      <c r="G135" s="112" t="s">
        <v>7</v>
      </c>
      <c r="H135" s="112" t="s">
        <v>8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hidden="1" customHeight="1" x14ac:dyDescent="0.2">
      <c r="A136" s="86" t="s">
        <v>94</v>
      </c>
      <c r="B136" s="111"/>
      <c r="C136" s="111"/>
      <c r="E136" s="112">
        <v>1</v>
      </c>
      <c r="F136" s="113" t="s">
        <v>93</v>
      </c>
      <c r="G136" s="112" t="s">
        <v>34</v>
      </c>
      <c r="H136" s="112" t="s">
        <v>8</v>
      </c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2.75" hidden="1" customHeight="1" x14ac:dyDescent="0.2">
      <c r="A137" s="86" t="s">
        <v>95</v>
      </c>
      <c r="B137" s="116"/>
      <c r="C137" s="116"/>
      <c r="E137" s="112">
        <v>1</v>
      </c>
      <c r="F137" s="113" t="s">
        <v>93</v>
      </c>
      <c r="G137" s="112" t="s">
        <v>34</v>
      </c>
      <c r="H137" s="112" t="s">
        <v>49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98</v>
      </c>
      <c r="B138" s="116"/>
      <c r="C138" s="116"/>
      <c r="E138" s="112">
        <v>1</v>
      </c>
      <c r="F138" s="113" t="s">
        <v>93</v>
      </c>
      <c r="G138" s="112" t="s">
        <v>54</v>
      </c>
      <c r="H138" s="112" t="s">
        <v>15</v>
      </c>
      <c r="J138" s="36"/>
      <c r="K138" s="36"/>
      <c r="L138" s="36"/>
      <c r="M138" s="36"/>
      <c r="N138" s="36">
        <f t="shared" ref="N138:N150" si="7">P138-L138</f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99</v>
      </c>
      <c r="B139" s="116"/>
      <c r="C139" s="116"/>
      <c r="D139" s="113"/>
      <c r="E139" s="112">
        <v>1</v>
      </c>
      <c r="F139" s="113" t="s">
        <v>93</v>
      </c>
      <c r="G139" s="112" t="s">
        <v>93</v>
      </c>
      <c r="H139" s="112" t="s">
        <v>10</v>
      </c>
      <c r="J139" s="36"/>
      <c r="K139" s="36"/>
      <c r="L139" s="36"/>
      <c r="M139" s="36"/>
      <c r="N139" s="36">
        <f t="shared" si="7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100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19</v>
      </c>
      <c r="J140" s="36"/>
      <c r="K140" s="36"/>
      <c r="L140" s="36"/>
      <c r="M140" s="36"/>
      <c r="N140" s="36">
        <f t="shared" si="7"/>
        <v>0</v>
      </c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175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82</v>
      </c>
      <c r="J141" s="36"/>
      <c r="K141" s="36"/>
      <c r="L141" s="36"/>
      <c r="M141" s="36"/>
      <c r="N141" s="36">
        <f t="shared" si="7"/>
        <v>0</v>
      </c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176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45</v>
      </c>
      <c r="J142" s="36"/>
      <c r="K142" s="36"/>
      <c r="L142" s="36"/>
      <c r="M142" s="36"/>
      <c r="N142" s="36">
        <f t="shared" si="7"/>
        <v>0</v>
      </c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177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146</v>
      </c>
      <c r="J143" s="36"/>
      <c r="K143" s="36"/>
      <c r="L143" s="36"/>
      <c r="M143" s="36"/>
      <c r="N143" s="36">
        <f t="shared" si="7"/>
        <v>0</v>
      </c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101</v>
      </c>
      <c r="B144" s="111"/>
      <c r="C144" s="111"/>
      <c r="E144" s="112">
        <v>1</v>
      </c>
      <c r="F144" s="113" t="s">
        <v>93</v>
      </c>
      <c r="G144" s="112" t="s">
        <v>54</v>
      </c>
      <c r="H144" s="112" t="s">
        <v>102</v>
      </c>
      <c r="J144" s="36"/>
      <c r="K144" s="36"/>
      <c r="L144" s="36"/>
      <c r="M144" s="36"/>
      <c r="N144" s="36">
        <f t="shared" si="7"/>
        <v>0</v>
      </c>
      <c r="O144" s="36"/>
      <c r="P144" s="36"/>
      <c r="Q144" s="36"/>
      <c r="R144" s="36"/>
    </row>
    <row r="145" spans="1:21" s="7" customFormat="1" ht="12.75" hidden="1" customHeight="1" x14ac:dyDescent="0.2">
      <c r="A145" s="86" t="s">
        <v>103</v>
      </c>
      <c r="B145" s="111"/>
      <c r="C145" s="111"/>
      <c r="E145" s="112">
        <v>1</v>
      </c>
      <c r="F145" s="113" t="s">
        <v>93</v>
      </c>
      <c r="G145" s="112" t="s">
        <v>54</v>
      </c>
      <c r="H145" s="112" t="s">
        <v>24</v>
      </c>
      <c r="J145" s="36"/>
      <c r="K145" s="36"/>
      <c r="L145" s="36"/>
      <c r="M145" s="36"/>
      <c r="N145" s="36">
        <f t="shared" si="7"/>
        <v>0</v>
      </c>
      <c r="O145" s="36"/>
      <c r="P145" s="36"/>
      <c r="Q145" s="36"/>
      <c r="R145" s="36"/>
    </row>
    <row r="146" spans="1:21" s="7" customFormat="1" ht="12.75" hidden="1" customHeight="1" x14ac:dyDescent="0.2">
      <c r="A146" s="86" t="s">
        <v>104</v>
      </c>
      <c r="B146" s="111"/>
      <c r="C146" s="111"/>
      <c r="E146" s="112">
        <v>1</v>
      </c>
      <c r="F146" s="113" t="s">
        <v>93</v>
      </c>
      <c r="G146" s="112" t="s">
        <v>54</v>
      </c>
      <c r="H146" s="112" t="s">
        <v>28</v>
      </c>
      <c r="J146" s="36"/>
      <c r="K146" s="36"/>
      <c r="L146" s="36"/>
      <c r="M146" s="36"/>
      <c r="N146" s="36">
        <f t="shared" si="7"/>
        <v>0</v>
      </c>
      <c r="O146" s="36"/>
      <c r="P146" s="36"/>
      <c r="Q146" s="36"/>
      <c r="R146" s="36"/>
    </row>
    <row r="147" spans="1:21" s="7" customFormat="1" ht="12.75" hidden="1" customHeight="1" x14ac:dyDescent="0.2">
      <c r="A147" s="86" t="s">
        <v>105</v>
      </c>
      <c r="B147" s="111"/>
      <c r="C147" s="111"/>
      <c r="D147" s="113"/>
      <c r="E147" s="112">
        <v>1</v>
      </c>
      <c r="F147" s="113" t="s">
        <v>93</v>
      </c>
      <c r="G147" s="112" t="s">
        <v>54</v>
      </c>
      <c r="H147" s="114" t="s">
        <v>49</v>
      </c>
      <c r="J147" s="36"/>
      <c r="K147" s="36"/>
      <c r="L147" s="36"/>
      <c r="M147" s="36"/>
      <c r="N147" s="36">
        <f t="shared" si="7"/>
        <v>0</v>
      </c>
      <c r="O147" s="36"/>
      <c r="P147" s="36"/>
      <c r="Q147" s="36"/>
      <c r="R147" s="36"/>
    </row>
    <row r="148" spans="1:21" s="7" customFormat="1" ht="12.75" hidden="1" customHeight="1" x14ac:dyDescent="0.2">
      <c r="A148" s="86" t="s">
        <v>106</v>
      </c>
      <c r="B148" s="111"/>
      <c r="C148" s="111"/>
      <c r="D148" s="113"/>
      <c r="E148" s="112">
        <v>1</v>
      </c>
      <c r="F148" s="113" t="s">
        <v>93</v>
      </c>
      <c r="G148" s="112" t="s">
        <v>67</v>
      </c>
      <c r="H148" s="112" t="s">
        <v>8</v>
      </c>
      <c r="J148" s="36"/>
      <c r="K148" s="36"/>
      <c r="L148" s="36"/>
      <c r="M148" s="36"/>
      <c r="N148" s="36">
        <f t="shared" si="7"/>
        <v>0</v>
      </c>
      <c r="O148" s="36"/>
      <c r="P148" s="36"/>
      <c r="Q148" s="36"/>
      <c r="R148" s="36"/>
    </row>
    <row r="149" spans="1:21" s="7" customFormat="1" ht="12.75" hidden="1" customHeight="1" x14ac:dyDescent="0.2">
      <c r="A149" s="86" t="s">
        <v>97</v>
      </c>
      <c r="B149" s="111"/>
      <c r="C149" s="111"/>
      <c r="E149" s="112">
        <v>1</v>
      </c>
      <c r="F149" s="113" t="s">
        <v>93</v>
      </c>
      <c r="G149" s="112" t="s">
        <v>93</v>
      </c>
      <c r="H149" s="112" t="s">
        <v>8</v>
      </c>
      <c r="J149" s="36"/>
      <c r="K149" s="36"/>
      <c r="L149" s="36"/>
      <c r="M149" s="36"/>
      <c r="N149" s="36">
        <f t="shared" ref="N149" si="8">P149-L149</f>
        <v>0</v>
      </c>
      <c r="O149" s="36"/>
      <c r="P149" s="36"/>
      <c r="Q149" s="36"/>
      <c r="R149" s="36"/>
    </row>
    <row r="150" spans="1:21" s="7" customFormat="1" ht="12.75" hidden="1" customHeight="1" x14ac:dyDescent="0.2">
      <c r="A150" s="86" t="s">
        <v>107</v>
      </c>
      <c r="B150" s="111"/>
      <c r="C150" s="111"/>
      <c r="D150" s="113"/>
      <c r="E150" s="112">
        <v>1</v>
      </c>
      <c r="F150" s="113" t="s">
        <v>93</v>
      </c>
      <c r="G150" s="112" t="s">
        <v>59</v>
      </c>
      <c r="H150" s="114" t="s">
        <v>49</v>
      </c>
      <c r="J150" s="36"/>
      <c r="K150" s="36"/>
      <c r="L150" s="36"/>
      <c r="M150" s="36"/>
      <c r="N150" s="36">
        <f t="shared" si="7"/>
        <v>0</v>
      </c>
      <c r="O150" s="36"/>
      <c r="P150" s="36"/>
      <c r="Q150" s="36"/>
      <c r="R150" s="36"/>
    </row>
    <row r="151" spans="1:21" s="7" customFormat="1" ht="12.75" hidden="1" customHeight="1" x14ac:dyDescent="0.2">
      <c r="A151" s="86" t="s">
        <v>178</v>
      </c>
      <c r="B151" s="111"/>
      <c r="C151" s="111"/>
      <c r="D151" s="113"/>
      <c r="E151" s="112">
        <v>1</v>
      </c>
      <c r="F151" s="113" t="s">
        <v>93</v>
      </c>
      <c r="G151" s="112" t="s">
        <v>29</v>
      </c>
      <c r="H151" s="112" t="s">
        <v>8</v>
      </c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1:21" s="7" customFormat="1" ht="12.75" hidden="1" customHeight="1" x14ac:dyDescent="0.2">
      <c r="A152" s="86" t="s">
        <v>179</v>
      </c>
      <c r="B152" s="111"/>
      <c r="C152" s="111"/>
      <c r="D152" s="113"/>
      <c r="E152" s="112">
        <v>1</v>
      </c>
      <c r="F152" s="113" t="s">
        <v>93</v>
      </c>
      <c r="G152" s="112" t="s">
        <v>29</v>
      </c>
      <c r="H152" s="112" t="s">
        <v>45</v>
      </c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21" s="7" customFormat="1" ht="6" customHeight="1" x14ac:dyDescent="0.2"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21" s="7" customFormat="1" ht="16.5" customHeight="1" thickBot="1" x14ac:dyDescent="0.25">
      <c r="A154" s="28" t="s">
        <v>110</v>
      </c>
      <c r="B154" s="28"/>
      <c r="C154" s="28"/>
      <c r="J154" s="29">
        <f>J42+J113+J132+J121</f>
        <v>40371672.640000001</v>
      </c>
      <c r="K154" s="23"/>
      <c r="L154" s="29">
        <f>L42+L113+L132+L121</f>
        <v>14956238.67</v>
      </c>
      <c r="M154" s="36"/>
      <c r="N154" s="29">
        <f>N42+N113+N132+N121</f>
        <v>33396795.370000001</v>
      </c>
      <c r="O154" s="36"/>
      <c r="P154" s="29">
        <f>P42+P113+P132+P121</f>
        <v>48353034.039999999</v>
      </c>
      <c r="Q154" s="36"/>
      <c r="R154" s="29">
        <f>R42+R113+R132+R121</f>
        <v>49756139.589999996</v>
      </c>
      <c r="T154" s="7">
        <v>38132671.280000001</v>
      </c>
      <c r="U154" s="7">
        <f>R154-T154</f>
        <v>11623468.309999995</v>
      </c>
    </row>
    <row r="155" spans="1:21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21" s="7" customFormat="1" x14ac:dyDescent="0.2">
      <c r="A156" s="31"/>
      <c r="B156" s="31"/>
      <c r="C156" s="31"/>
      <c r="D156" s="34"/>
      <c r="E156" s="31"/>
      <c r="F156" s="31"/>
      <c r="H156" s="35"/>
      <c r="I156" s="35"/>
      <c r="J156" s="35"/>
      <c r="K156" s="35"/>
      <c r="L156" s="35"/>
      <c r="M156" s="35"/>
    </row>
    <row r="157" spans="1:21" x14ac:dyDescent="0.2">
      <c r="A157" s="321" t="s">
        <v>133</v>
      </c>
      <c r="B157" s="321"/>
      <c r="C157" s="321"/>
      <c r="D157" s="33"/>
      <c r="E157" s="32"/>
      <c r="G157" s="31"/>
      <c r="I157" s="31"/>
      <c r="J157" s="321" t="s">
        <v>134</v>
      </c>
      <c r="K157" s="321"/>
      <c r="L157" s="321"/>
      <c r="M157" s="47"/>
      <c r="N157" s="49"/>
      <c r="O157" s="49"/>
      <c r="P157" s="311" t="s">
        <v>135</v>
      </c>
      <c r="Q157" s="311"/>
      <c r="R157" s="311"/>
    </row>
    <row r="158" spans="1:21" x14ac:dyDescent="0.2">
      <c r="A158" s="50"/>
      <c r="D158" s="33"/>
      <c r="E158" s="51"/>
      <c r="G158" s="31"/>
      <c r="I158" s="31"/>
      <c r="J158" s="168"/>
      <c r="M158" s="30"/>
      <c r="N158" s="36"/>
      <c r="O158" s="36"/>
      <c r="P158" s="51"/>
    </row>
    <row r="159" spans="1:21" x14ac:dyDescent="0.2">
      <c r="A159" s="50"/>
      <c r="D159" s="33"/>
      <c r="E159" s="51"/>
      <c r="G159" s="31"/>
      <c r="I159" s="31"/>
      <c r="J159" s="168"/>
      <c r="M159" s="95"/>
      <c r="N159" s="36"/>
      <c r="O159" s="36"/>
      <c r="P159" s="51"/>
    </row>
    <row r="160" spans="1:21" x14ac:dyDescent="0.2">
      <c r="A160" s="52"/>
      <c r="D160" s="31"/>
      <c r="E160" s="53"/>
      <c r="G160" s="31"/>
      <c r="I160" s="31"/>
      <c r="J160" s="31"/>
      <c r="M160" s="31"/>
      <c r="P160" s="53"/>
    </row>
    <row r="161" spans="1:18" x14ac:dyDescent="0.2">
      <c r="A161" s="322" t="s">
        <v>206</v>
      </c>
      <c r="B161" s="322"/>
      <c r="C161" s="322"/>
      <c r="D161" s="55"/>
      <c r="E161" s="56"/>
      <c r="G161" s="31"/>
      <c r="I161" s="31"/>
      <c r="J161" s="322" t="s">
        <v>291</v>
      </c>
      <c r="K161" s="322"/>
      <c r="L161" s="322"/>
      <c r="M161" s="57"/>
      <c r="N161" s="59"/>
      <c r="O161" s="59"/>
      <c r="P161" s="312" t="s">
        <v>137</v>
      </c>
      <c r="Q161" s="312"/>
      <c r="R161" s="312"/>
    </row>
    <row r="162" spans="1:18" x14ac:dyDescent="0.2">
      <c r="A162" s="321" t="s">
        <v>278</v>
      </c>
      <c r="B162" s="321"/>
      <c r="C162" s="321"/>
      <c r="D162" s="31"/>
      <c r="E162" s="32"/>
      <c r="G162" s="31"/>
      <c r="I162" s="31"/>
      <c r="J162" s="321" t="s">
        <v>269</v>
      </c>
      <c r="K162" s="321"/>
      <c r="L162" s="321"/>
      <c r="M162" s="33"/>
      <c r="N162" s="35"/>
      <c r="O162" s="35"/>
      <c r="P162" s="313" t="s">
        <v>139</v>
      </c>
      <c r="Q162" s="313"/>
      <c r="R162" s="313"/>
    </row>
  </sheetData>
  <customSheetViews>
    <customSheetView guid="{1998FCB8-1FEB-4076-ACE6-A225EE4366B3}" showPageBreaks="1" printArea="1" hiddenRows="1" view="pageBreakPreview">
      <pane xSplit="1" ySplit="14" topLeftCell="B114" activePane="bottomRight" state="frozen"/>
      <selection pane="bottomRight" activeCell="C6" sqref="C6"/>
      <pageMargins left="0.75" right="0.5" top="0.8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J20" sqref="J20"/>
      <pageMargins left="0.75" right="0.5" top="0.8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7" activePane="bottomRight" state="frozen"/>
      <selection pane="bottomRight" activeCell="R134" sqref="R134"/>
      <pageMargins left="0.75" right="0.5" top="0.8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8" activePane="bottomRight" state="frozen"/>
      <selection pane="bottomRight" activeCell="I154" sqref="I154"/>
      <pageMargins left="0.75" right="0.5" top="0.8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D121" activePane="bottomRight" state="frozen"/>
      <selection pane="bottomRight" activeCell="T126" sqref="T126"/>
      <pageMargins left="0.75" right="0.5" top="0.8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7:R157"/>
    <mergeCell ref="P161:R161"/>
    <mergeCell ref="P162:R162"/>
    <mergeCell ref="A157:C157"/>
    <mergeCell ref="A161:C161"/>
    <mergeCell ref="A162:C162"/>
    <mergeCell ref="J157:L157"/>
    <mergeCell ref="J161:L161"/>
    <mergeCell ref="J162:L162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0"/>
  <sheetViews>
    <sheetView view="pageBreakPreview" zoomScaleSheetLayoutView="10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A11" sqref="A11:C1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209</v>
      </c>
      <c r="H4" s="3"/>
      <c r="I4" s="3"/>
      <c r="R4" s="77">
        <v>1101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330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13">
        <v>16329237.92</v>
      </c>
      <c r="K16" s="13"/>
      <c r="L16" s="36">
        <v>6126937.7300000004</v>
      </c>
      <c r="M16" s="36"/>
      <c r="N16" s="36">
        <f t="shared" ref="N16:N21" si="0">P16-L16</f>
        <v>12843015.77</v>
      </c>
      <c r="O16" s="36"/>
      <c r="P16" s="36">
        <v>18969953.5</v>
      </c>
      <c r="Q16" s="36"/>
      <c r="R16" s="187">
        <v>19399218.23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9"/>
      <c r="K17" s="39"/>
      <c r="L17" s="36"/>
      <c r="M17" s="36"/>
      <c r="N17" s="36">
        <f t="shared" si="0"/>
        <v>0</v>
      </c>
      <c r="O17" s="36"/>
      <c r="P17" s="36"/>
      <c r="Q17" s="36"/>
      <c r="R17" s="36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13">
        <v>1025884.37</v>
      </c>
      <c r="K18" s="13"/>
      <c r="L18" s="36">
        <v>442000</v>
      </c>
      <c r="M18" s="36"/>
      <c r="N18" s="36">
        <f t="shared" si="0"/>
        <v>758000</v>
      </c>
      <c r="O18" s="36"/>
      <c r="P18" s="36">
        <v>1200000</v>
      </c>
      <c r="Q18" s="36"/>
      <c r="R18" s="187">
        <v>1200000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13">
        <v>192000</v>
      </c>
      <c r="K19" s="13"/>
      <c r="L19" s="36">
        <v>45000</v>
      </c>
      <c r="M19" s="36"/>
      <c r="N19" s="36">
        <f t="shared" si="0"/>
        <v>147000</v>
      </c>
      <c r="O19" s="36"/>
      <c r="P19" s="36">
        <v>192000</v>
      </c>
      <c r="Q19" s="36"/>
      <c r="R19" s="187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13">
        <v>192000</v>
      </c>
      <c r="K20" s="13"/>
      <c r="L20" s="36">
        <v>45000</v>
      </c>
      <c r="M20" s="36"/>
      <c r="N20" s="36">
        <f t="shared" si="0"/>
        <v>147000</v>
      </c>
      <c r="O20" s="36"/>
      <c r="P20" s="36">
        <v>192000</v>
      </c>
      <c r="Q20" s="36"/>
      <c r="R20" s="187">
        <v>192000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13">
        <v>258000</v>
      </c>
      <c r="K21" s="13"/>
      <c r="L21" s="36">
        <v>204000</v>
      </c>
      <c r="M21" s="36"/>
      <c r="N21" s="36">
        <f t="shared" si="0"/>
        <v>96000</v>
      </c>
      <c r="O21" s="36"/>
      <c r="P21" s="36">
        <v>300000</v>
      </c>
      <c r="Q21" s="36"/>
      <c r="R21" s="187">
        <v>300000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13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13"/>
      <c r="K24" s="13"/>
      <c r="L24" s="36"/>
      <c r="M24" s="36"/>
      <c r="N24" s="36">
        <f t="shared" ref="N24:N36" si="1">P24-L24</f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13"/>
      <c r="K25" s="13"/>
      <c r="L25" s="36"/>
      <c r="M25" s="36"/>
      <c r="N25" s="36">
        <f t="shared" si="1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13"/>
      <c r="K27" s="13"/>
      <c r="L27" s="36">
        <v>114500</v>
      </c>
      <c r="M27" s="36"/>
      <c r="N27" s="36">
        <f t="shared" si="1"/>
        <v>95500</v>
      </c>
      <c r="O27" s="36"/>
      <c r="P27" s="36">
        <v>210000</v>
      </c>
      <c r="Q27" s="36"/>
      <c r="R27" s="36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1367591.05</v>
      </c>
      <c r="K30" s="36"/>
      <c r="L30" s="36"/>
      <c r="M30" s="36"/>
      <c r="N30" s="36">
        <f>P30-L30</f>
        <v>1581187</v>
      </c>
      <c r="O30" s="36"/>
      <c r="P30" s="36">
        <v>1581187</v>
      </c>
      <c r="Q30" s="36"/>
      <c r="R30" s="185">
        <v>1616692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214750</v>
      </c>
      <c r="K31" s="36"/>
      <c r="L31" s="36"/>
      <c r="M31" s="36"/>
      <c r="N31" s="36">
        <f t="shared" si="1"/>
        <v>250000</v>
      </c>
      <c r="O31" s="36"/>
      <c r="P31" s="36">
        <v>250000</v>
      </c>
      <c r="Q31" s="36"/>
      <c r="R31" s="187">
        <v>250000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13">
        <v>1370122</v>
      </c>
      <c r="K32" s="13"/>
      <c r="L32" s="36">
        <v>1016321</v>
      </c>
      <c r="M32" s="36"/>
      <c r="N32" s="36">
        <f>P32-L32</f>
        <v>549866</v>
      </c>
      <c r="O32" s="36"/>
      <c r="P32" s="36">
        <v>1566187</v>
      </c>
      <c r="Q32" s="36"/>
      <c r="R32" s="187">
        <v>1616692</v>
      </c>
    </row>
    <row r="33" spans="1:18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1959555.73</v>
      </c>
      <c r="K33" s="36"/>
      <c r="L33" s="36">
        <v>733545.54</v>
      </c>
      <c r="M33" s="36"/>
      <c r="N33" s="36">
        <f t="shared" si="1"/>
        <v>1543363.7399999998</v>
      </c>
      <c r="O33" s="36"/>
      <c r="P33" s="36">
        <v>2276909.2799999998</v>
      </c>
      <c r="Q33" s="36"/>
      <c r="R33" s="187">
        <v>2283525.41</v>
      </c>
    </row>
    <row r="34" spans="1:18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51229.03</v>
      </c>
      <c r="K34" s="36"/>
      <c r="L34" s="36">
        <v>22000</v>
      </c>
      <c r="M34" s="36"/>
      <c r="N34" s="36">
        <f t="shared" si="1"/>
        <v>38000</v>
      </c>
      <c r="O34" s="36"/>
      <c r="P34" s="36">
        <v>60000</v>
      </c>
      <c r="Q34" s="36"/>
      <c r="R34" s="187">
        <v>60000</v>
      </c>
    </row>
    <row r="35" spans="1:18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166233.57999999999</v>
      </c>
      <c r="K35" s="36"/>
      <c r="L35" s="36">
        <v>87003.49</v>
      </c>
      <c r="M35" s="36"/>
      <c r="N35" s="36">
        <f t="shared" si="1"/>
        <v>175696.43</v>
      </c>
      <c r="O35" s="36"/>
      <c r="P35" s="36">
        <v>262699.92</v>
      </c>
      <c r="Q35" s="36"/>
      <c r="R35" s="187">
        <v>329122.5</v>
      </c>
    </row>
    <row r="36" spans="1:18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51200</v>
      </c>
      <c r="K36" s="36"/>
      <c r="L36" s="36">
        <v>22000</v>
      </c>
      <c r="M36" s="36"/>
      <c r="N36" s="36">
        <f t="shared" si="1"/>
        <v>38000</v>
      </c>
      <c r="O36" s="36"/>
      <c r="P36" s="36">
        <v>60000</v>
      </c>
      <c r="Q36" s="36"/>
      <c r="R36" s="187">
        <v>60000</v>
      </c>
    </row>
    <row r="37" spans="1:18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18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/>
      <c r="O38" s="36"/>
      <c r="P38" s="36"/>
      <c r="Q38" s="36"/>
      <c r="R38" s="36"/>
    </row>
    <row r="39" spans="1:18" s="7" customFormat="1" ht="12.7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>
        <v>890394.81</v>
      </c>
      <c r="K39" s="36"/>
      <c r="L39" s="36"/>
      <c r="M39" s="36"/>
      <c r="N39" s="36">
        <f t="shared" ref="N39" si="2">P39-L39</f>
        <v>517830.48</v>
      </c>
      <c r="O39" s="36"/>
      <c r="P39" s="36">
        <v>517830.48</v>
      </c>
      <c r="Q39" s="36"/>
      <c r="R39" s="36"/>
    </row>
    <row r="40" spans="1:18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245000</v>
      </c>
      <c r="K40" s="36"/>
      <c r="L40" s="36"/>
      <c r="M40" s="36"/>
      <c r="N40" s="36">
        <f>P40-L40</f>
        <v>265000</v>
      </c>
      <c r="O40" s="36"/>
      <c r="P40" s="36">
        <v>265000</v>
      </c>
      <c r="Q40" s="36"/>
      <c r="R40" s="187">
        <v>250000</v>
      </c>
    </row>
    <row r="41" spans="1:18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s="7" customFormat="1" ht="18.95" customHeight="1" x14ac:dyDescent="0.2">
      <c r="A42" s="63" t="s">
        <v>36</v>
      </c>
      <c r="B42" s="26"/>
      <c r="C42" s="26"/>
      <c r="J42" s="161">
        <f>SUM(J16:J41)</f>
        <v>24313198.489999998</v>
      </c>
      <c r="K42" s="162"/>
      <c r="L42" s="161">
        <f>SUM(L16:L41)</f>
        <v>8858307.7599999998</v>
      </c>
      <c r="M42" s="36"/>
      <c r="N42" s="161">
        <f>SUM(N16:N41)</f>
        <v>19045459.419999998</v>
      </c>
      <c r="O42" s="36"/>
      <c r="P42" s="161">
        <f>SUM(P16:P41)</f>
        <v>27903767.180000003</v>
      </c>
      <c r="Q42" s="36"/>
      <c r="R42" s="161">
        <f>SUM(R16:R41)</f>
        <v>27749250.140000001</v>
      </c>
    </row>
    <row r="43" spans="1:18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18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36">
        <v>55090</v>
      </c>
      <c r="K45" s="36"/>
      <c r="L45" s="36">
        <v>3470</v>
      </c>
      <c r="M45" s="36"/>
      <c r="N45" s="36">
        <f t="shared" ref="N45:N76" si="3">P45-L45</f>
        <v>147730</v>
      </c>
      <c r="O45" s="36"/>
      <c r="P45" s="36">
        <v>151200</v>
      </c>
      <c r="Q45" s="36"/>
      <c r="R45" s="187">
        <v>151200</v>
      </c>
    </row>
    <row r="46" spans="1:18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>
        <f t="shared" si="3"/>
        <v>0</v>
      </c>
      <c r="O46" s="36"/>
      <c r="P46" s="36"/>
      <c r="Q46" s="36"/>
      <c r="R46" s="36"/>
    </row>
    <row r="47" spans="1:18" s="7" customFormat="1" ht="12.75" hidden="1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>
        <v>0</v>
      </c>
      <c r="K47" s="36"/>
      <c r="L47" s="36"/>
      <c r="M47" s="36"/>
      <c r="N47" s="36">
        <f t="shared" si="3"/>
        <v>0</v>
      </c>
      <c r="O47" s="36"/>
      <c r="P47" s="36"/>
      <c r="Q47" s="36"/>
      <c r="R47" s="36"/>
    </row>
    <row r="48" spans="1:18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36"/>
      <c r="K48" s="36"/>
      <c r="L48" s="36"/>
      <c r="M48" s="36"/>
      <c r="N48" s="36">
        <f t="shared" si="3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40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8</v>
      </c>
      <c r="J49" s="36"/>
      <c r="K49" s="36"/>
      <c r="L49" s="36"/>
      <c r="M49" s="36"/>
      <c r="N49" s="36"/>
      <c r="O49" s="36"/>
      <c r="P49" s="36"/>
      <c r="Q49" s="36"/>
      <c r="R49" s="36"/>
    </row>
    <row r="50" spans="1:18" s="7" customFormat="1" ht="12.75" hidden="1" customHeight="1" x14ac:dyDescent="0.2">
      <c r="A50" s="86" t="s">
        <v>41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10</v>
      </c>
      <c r="J50" s="36"/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42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17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43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64</v>
      </c>
      <c r="J52" s="36"/>
      <c r="K52" s="36"/>
      <c r="L52" s="36"/>
      <c r="M52" s="36"/>
      <c r="N52" s="36">
        <f t="shared" si="3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88</v>
      </c>
      <c r="B53" s="111"/>
      <c r="C53" s="111"/>
      <c r="E53" s="112">
        <v>5</v>
      </c>
      <c r="F53" s="113" t="s">
        <v>12</v>
      </c>
      <c r="G53" s="112" t="s">
        <v>29</v>
      </c>
      <c r="H53" s="112" t="s">
        <v>60</v>
      </c>
      <c r="J53" s="36"/>
      <c r="K53" s="36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150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19</v>
      </c>
      <c r="J54" s="39"/>
      <c r="K54" s="39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151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82</v>
      </c>
      <c r="J55" s="39"/>
      <c r="K55" s="39"/>
      <c r="L55" s="36"/>
      <c r="M55" s="36"/>
      <c r="N55" s="36">
        <f t="shared" si="3"/>
        <v>0</v>
      </c>
      <c r="O55" s="36"/>
      <c r="P55" s="36"/>
      <c r="Q55" s="36"/>
      <c r="R55" s="36"/>
    </row>
    <row r="56" spans="1:18" s="7" customFormat="1" ht="12.75" customHeight="1" x14ac:dyDescent="0.2">
      <c r="A56" s="86" t="s">
        <v>44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45</v>
      </c>
      <c r="J56" s="39">
        <v>0</v>
      </c>
      <c r="K56" s="39"/>
      <c r="L56" s="36"/>
      <c r="M56" s="36"/>
      <c r="N56" s="36">
        <f t="shared" si="3"/>
        <v>60000</v>
      </c>
      <c r="O56" s="36"/>
      <c r="P56" s="36">
        <v>60000</v>
      </c>
      <c r="Q56" s="36"/>
      <c r="R56" s="187">
        <v>60000</v>
      </c>
    </row>
    <row r="57" spans="1:18" s="7" customFormat="1" ht="12.75" hidden="1" customHeight="1" x14ac:dyDescent="0.2">
      <c r="A57" s="86" t="s">
        <v>152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102</v>
      </c>
      <c r="J57" s="36"/>
      <c r="K57" s="36"/>
      <c r="L57" s="36"/>
      <c r="M57" s="36"/>
      <c r="N57" s="36">
        <f t="shared" si="3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153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146</v>
      </c>
      <c r="J58" s="36"/>
      <c r="K58" s="36"/>
      <c r="L58" s="36"/>
      <c r="M58" s="36"/>
      <c r="N58" s="36">
        <f t="shared" si="3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46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47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154</v>
      </c>
      <c r="B60" s="111"/>
      <c r="C60" s="111"/>
      <c r="E60" s="112">
        <v>5</v>
      </c>
      <c r="F60" s="113" t="s">
        <v>12</v>
      </c>
      <c r="G60" s="112" t="s">
        <v>29</v>
      </c>
      <c r="H60" s="112" t="s">
        <v>15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51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24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48</v>
      </c>
      <c r="B62" s="111"/>
      <c r="C62" s="111"/>
      <c r="E62" s="112">
        <v>5</v>
      </c>
      <c r="F62" s="113" t="s">
        <v>12</v>
      </c>
      <c r="G62" s="112" t="s">
        <v>29</v>
      </c>
      <c r="H62" s="114" t="s">
        <v>49</v>
      </c>
      <c r="J62" s="36"/>
      <c r="K62" s="36"/>
      <c r="L62" s="36"/>
      <c r="M62" s="36"/>
      <c r="N62" s="36"/>
      <c r="O62" s="36"/>
      <c r="P62" s="36"/>
      <c r="Q62" s="36"/>
      <c r="R62" s="36"/>
    </row>
    <row r="63" spans="1:18" s="7" customFormat="1" ht="12.75" hidden="1" customHeight="1" x14ac:dyDescent="0.2">
      <c r="A63" s="86" t="s">
        <v>50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8</v>
      </c>
      <c r="J63" s="36"/>
      <c r="K63" s="36"/>
      <c r="L63" s="36"/>
      <c r="M63" s="36"/>
      <c r="N63" s="36">
        <f t="shared" si="3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52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10</v>
      </c>
      <c r="J64" s="36"/>
      <c r="K64" s="36"/>
      <c r="L64" s="36"/>
      <c r="M64" s="36"/>
      <c r="N64" s="36">
        <f t="shared" si="3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48</v>
      </c>
      <c r="B65" s="111"/>
      <c r="C65" s="111"/>
      <c r="D65" s="112"/>
      <c r="E65" s="112">
        <v>5</v>
      </c>
      <c r="F65" s="113" t="s">
        <v>12</v>
      </c>
      <c r="G65" s="112" t="s">
        <v>29</v>
      </c>
      <c r="H65" s="114" t="s">
        <v>49</v>
      </c>
      <c r="J65" s="36"/>
      <c r="K65" s="36"/>
      <c r="L65" s="36"/>
      <c r="M65" s="36"/>
      <c r="N65" s="36">
        <f t="shared" si="3"/>
        <v>0</v>
      </c>
      <c r="O65" s="36"/>
      <c r="P65" s="36"/>
      <c r="Q65" s="36"/>
      <c r="R65" s="36"/>
    </row>
    <row r="66" spans="1:18" s="7" customFormat="1" ht="12.75" customHeight="1" x14ac:dyDescent="0.2">
      <c r="A66" s="86" t="s">
        <v>53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8</v>
      </c>
      <c r="J66" s="36">
        <v>30000</v>
      </c>
      <c r="K66" s="36"/>
      <c r="L66" s="36"/>
      <c r="M66" s="36"/>
      <c r="N66" s="36">
        <f t="shared" si="3"/>
        <v>30000</v>
      </c>
      <c r="O66" s="36"/>
      <c r="P66" s="36">
        <v>30000</v>
      </c>
      <c r="Q66" s="36"/>
      <c r="R66" s="187">
        <v>30000</v>
      </c>
    </row>
    <row r="67" spans="1:18" s="7" customFormat="1" ht="12.75" hidden="1" customHeight="1" x14ac:dyDescent="0.2">
      <c r="A67" s="86" t="s">
        <v>55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10</v>
      </c>
      <c r="J67" s="36"/>
      <c r="K67" s="36"/>
      <c r="L67" s="36"/>
      <c r="M67" s="36"/>
      <c r="N67" s="36">
        <f t="shared" si="3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56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15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57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17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58</v>
      </c>
      <c r="B70" s="111"/>
      <c r="C70" s="111"/>
      <c r="E70" s="112">
        <v>5</v>
      </c>
      <c r="F70" s="112" t="s">
        <v>12</v>
      </c>
      <c r="G70" s="112" t="s">
        <v>59</v>
      </c>
      <c r="H70" s="112" t="s">
        <v>60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66</v>
      </c>
      <c r="B71" s="111"/>
      <c r="C71" s="111"/>
      <c r="E71" s="112">
        <v>5</v>
      </c>
      <c r="F71" s="113" t="s">
        <v>12</v>
      </c>
      <c r="G71" s="112" t="s">
        <v>67</v>
      </c>
      <c r="H71" s="112" t="s">
        <v>8</v>
      </c>
      <c r="J71" s="36"/>
      <c r="K71" s="36"/>
      <c r="L71" s="36"/>
      <c r="M71" s="36"/>
      <c r="N71" s="36">
        <f t="shared" si="3"/>
        <v>0</v>
      </c>
      <c r="O71" s="36"/>
      <c r="P71" s="36"/>
      <c r="Q71" s="36"/>
      <c r="R71" s="36"/>
    </row>
    <row r="72" spans="1:18" s="7" customFormat="1" ht="12.75" customHeight="1" x14ac:dyDescent="0.2">
      <c r="A72" s="86" t="s">
        <v>61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8</v>
      </c>
      <c r="J72" s="36"/>
      <c r="K72" s="36"/>
      <c r="L72" s="36"/>
      <c r="M72" s="36"/>
      <c r="N72" s="36">
        <f t="shared" si="3"/>
        <v>1000000</v>
      </c>
      <c r="O72" s="36"/>
      <c r="P72" s="36">
        <v>1000000</v>
      </c>
      <c r="Q72" s="36"/>
      <c r="R72" s="187">
        <v>1000000</v>
      </c>
    </row>
    <row r="73" spans="1:18" s="7" customFormat="1" ht="12.75" hidden="1" customHeight="1" x14ac:dyDescent="0.2">
      <c r="A73" s="86" t="s">
        <v>62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10</v>
      </c>
      <c r="J73" s="36"/>
      <c r="K73" s="36"/>
      <c r="L73" s="36"/>
      <c r="M73" s="36"/>
      <c r="N73" s="36">
        <f t="shared" si="3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3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155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15</v>
      </c>
      <c r="J75" s="36"/>
      <c r="K75" s="36"/>
      <c r="L75" s="36"/>
      <c r="M75" s="36"/>
      <c r="N75" s="36">
        <f t="shared" si="3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156</v>
      </c>
      <c r="B76" s="111"/>
      <c r="C76" s="111"/>
      <c r="E76" s="112">
        <v>5</v>
      </c>
      <c r="F76" s="112" t="s">
        <v>12</v>
      </c>
      <c r="G76" s="112" t="s">
        <v>59</v>
      </c>
      <c r="H76" s="112" t="s">
        <v>17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63</v>
      </c>
      <c r="B77" s="111"/>
      <c r="C77" s="111"/>
      <c r="E77" s="112">
        <v>5</v>
      </c>
      <c r="F77" s="113" t="s">
        <v>12</v>
      </c>
      <c r="G77" s="112" t="s">
        <v>59</v>
      </c>
      <c r="H77" s="112" t="s">
        <v>64</v>
      </c>
      <c r="J77" s="36"/>
      <c r="K77" s="36"/>
      <c r="L77" s="36"/>
      <c r="M77" s="36"/>
      <c r="N77" s="36">
        <f t="shared" ref="N77:N113" si="4">P77-L77</f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65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19</v>
      </c>
      <c r="J78" s="36"/>
      <c r="K78" s="36"/>
      <c r="L78" s="36"/>
      <c r="M78" s="36"/>
      <c r="N78" s="36">
        <f t="shared" si="4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157</v>
      </c>
      <c r="B79" s="111"/>
      <c r="C79" s="111"/>
      <c r="E79" s="112">
        <v>5</v>
      </c>
      <c r="F79" s="113" t="s">
        <v>12</v>
      </c>
      <c r="G79" s="112" t="s">
        <v>93</v>
      </c>
      <c r="H79" s="112" t="s">
        <v>8</v>
      </c>
      <c r="J79" s="36"/>
      <c r="K79" s="36"/>
      <c r="L79" s="36"/>
      <c r="M79" s="36"/>
      <c r="N79" s="36">
        <f t="shared" si="4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66</v>
      </c>
      <c r="B80" s="111"/>
      <c r="C80" s="111"/>
      <c r="E80" s="112">
        <v>5</v>
      </c>
      <c r="F80" s="113" t="s">
        <v>12</v>
      </c>
      <c r="G80" s="112" t="s">
        <v>67</v>
      </c>
      <c r="H80" s="112" t="s">
        <v>8</v>
      </c>
      <c r="J80" s="36"/>
      <c r="K80" s="36"/>
      <c r="L80" s="36"/>
      <c r="M80" s="36"/>
      <c r="N80" s="36">
        <f t="shared" si="4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68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10</v>
      </c>
      <c r="J81" s="36"/>
      <c r="K81" s="36"/>
      <c r="L81" s="36"/>
      <c r="M81" s="36"/>
      <c r="N81" s="36">
        <f t="shared" si="4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158</v>
      </c>
      <c r="B82" s="111"/>
      <c r="C82" s="111"/>
      <c r="E82" s="112">
        <v>5</v>
      </c>
      <c r="F82" s="113" t="s">
        <v>12</v>
      </c>
      <c r="G82" s="112" t="s">
        <v>70</v>
      </c>
      <c r="H82" s="112" t="s">
        <v>8</v>
      </c>
      <c r="J82" s="36"/>
      <c r="K82" s="36"/>
      <c r="L82" s="36"/>
      <c r="M82" s="36"/>
      <c r="N82" s="36">
        <f t="shared" si="4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159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10</v>
      </c>
      <c r="J83" s="36"/>
      <c r="K83" s="36"/>
      <c r="L83" s="36"/>
      <c r="M83" s="36"/>
      <c r="N83" s="36">
        <f t="shared" si="4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69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15</v>
      </c>
      <c r="J84" s="36"/>
      <c r="K84" s="36"/>
      <c r="L84" s="36"/>
      <c r="M84" s="36"/>
      <c r="N84" s="36">
        <f t="shared" si="4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160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8</v>
      </c>
      <c r="J85" s="36"/>
      <c r="K85" s="36"/>
      <c r="L85" s="36"/>
      <c r="M85" s="36"/>
      <c r="N85" s="36">
        <f t="shared" si="4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161</v>
      </c>
      <c r="B86" s="111"/>
      <c r="C86" s="111"/>
      <c r="E86" s="112">
        <v>5</v>
      </c>
      <c r="F86" s="113" t="s">
        <v>12</v>
      </c>
      <c r="G86" s="112" t="s">
        <v>163</v>
      </c>
      <c r="H86" s="114" t="s">
        <v>49</v>
      </c>
      <c r="J86" s="36"/>
      <c r="K86" s="36"/>
      <c r="L86" s="36"/>
      <c r="M86" s="36"/>
      <c r="N86" s="36">
        <f t="shared" si="4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71</v>
      </c>
      <c r="B87" s="111"/>
      <c r="C87" s="111"/>
      <c r="E87" s="112">
        <v>5</v>
      </c>
      <c r="F87" s="113" t="s">
        <v>12</v>
      </c>
      <c r="G87" s="112" t="s">
        <v>163</v>
      </c>
      <c r="H87" s="112" t="s">
        <v>10</v>
      </c>
      <c r="J87" s="36"/>
      <c r="K87" s="36"/>
      <c r="L87" s="36"/>
      <c r="M87" s="36"/>
      <c r="N87" s="36">
        <f t="shared" si="4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162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15</v>
      </c>
      <c r="J88" s="36"/>
      <c r="K88" s="36"/>
      <c r="L88" s="36"/>
      <c r="M88" s="36"/>
      <c r="N88" s="36">
        <f t="shared" si="4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72</v>
      </c>
      <c r="B89" s="111"/>
      <c r="C89" s="111"/>
      <c r="E89" s="112">
        <v>5</v>
      </c>
      <c r="F89" s="113" t="s">
        <v>12</v>
      </c>
      <c r="G89" s="112" t="s">
        <v>70</v>
      </c>
      <c r="H89" s="112" t="s">
        <v>49</v>
      </c>
      <c r="J89" s="36"/>
      <c r="K89" s="36"/>
      <c r="L89" s="36"/>
      <c r="M89" s="36"/>
      <c r="N89" s="36">
        <f t="shared" si="4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164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10</v>
      </c>
      <c r="J90" s="36"/>
      <c r="K90" s="36"/>
      <c r="L90" s="36"/>
      <c r="M90" s="36"/>
      <c r="N90" s="36">
        <f t="shared" si="4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165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15</v>
      </c>
      <c r="J91" s="36"/>
      <c r="K91" s="36"/>
      <c r="L91" s="36"/>
      <c r="M91" s="36"/>
      <c r="N91" s="36">
        <f t="shared" si="4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166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17</v>
      </c>
      <c r="J92" s="36"/>
      <c r="K92" s="36"/>
      <c r="L92" s="36"/>
      <c r="M92" s="36"/>
      <c r="N92" s="36">
        <f t="shared" si="4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167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8</v>
      </c>
      <c r="J93" s="36"/>
      <c r="K93" s="36"/>
      <c r="L93" s="36"/>
      <c r="M93" s="36"/>
      <c r="N93" s="36">
        <f t="shared" si="4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168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45</v>
      </c>
      <c r="J94" s="36"/>
      <c r="K94" s="36"/>
      <c r="L94" s="36"/>
      <c r="M94" s="36"/>
      <c r="N94" s="36">
        <f t="shared" si="4"/>
        <v>0</v>
      </c>
      <c r="O94" s="36"/>
      <c r="P94" s="36"/>
      <c r="Q94" s="36"/>
      <c r="R94" s="36"/>
    </row>
    <row r="95" spans="1:18" s="7" customFormat="1" ht="12.75" customHeight="1" x14ac:dyDescent="0.2">
      <c r="A95" s="86" t="s">
        <v>73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64</v>
      </c>
      <c r="J95" s="36">
        <v>0</v>
      </c>
      <c r="K95" s="36"/>
      <c r="L95" s="36"/>
      <c r="M95" s="36"/>
      <c r="N95" s="36">
        <f t="shared" si="4"/>
        <v>0</v>
      </c>
      <c r="O95" s="36"/>
      <c r="P95" s="36"/>
      <c r="Q95" s="36"/>
      <c r="R95" s="36">
        <v>50000</v>
      </c>
    </row>
    <row r="96" spans="1:18" s="7" customFormat="1" ht="12.75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>
        <v>0</v>
      </c>
      <c r="K96" s="36"/>
      <c r="L96" s="36"/>
      <c r="M96" s="36"/>
      <c r="N96" s="36">
        <f t="shared" si="4"/>
        <v>0</v>
      </c>
      <c r="O96" s="36"/>
      <c r="P96" s="36"/>
      <c r="Q96" s="36"/>
      <c r="R96" s="36">
        <v>10000</v>
      </c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4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4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4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4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4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4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4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4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4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4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4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4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4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4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4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62</v>
      </c>
      <c r="B112" s="111"/>
      <c r="C112" s="111"/>
      <c r="E112" s="112">
        <v>5</v>
      </c>
      <c r="F112" s="113" t="s">
        <v>12</v>
      </c>
      <c r="G112" s="112" t="s">
        <v>59</v>
      </c>
      <c r="H112" s="112" t="s">
        <v>10</v>
      </c>
      <c r="J112" s="36">
        <v>0</v>
      </c>
      <c r="K112" s="36"/>
      <c r="L112" s="36"/>
      <c r="M112" s="36"/>
      <c r="N112" s="36">
        <f t="shared" si="4"/>
        <v>10000</v>
      </c>
      <c r="O112" s="36"/>
      <c r="P112" s="36">
        <v>10000</v>
      </c>
      <c r="Q112" s="36"/>
      <c r="R112" s="207">
        <v>10000</v>
      </c>
    </row>
    <row r="113" spans="1:18" s="7" customFormat="1" ht="12.75" customHeight="1" x14ac:dyDescent="0.2">
      <c r="A113" s="86" t="s">
        <v>260</v>
      </c>
      <c r="B113" s="111"/>
      <c r="C113" s="111"/>
      <c r="E113" s="112">
        <v>5</v>
      </c>
      <c r="F113" s="113" t="s">
        <v>12</v>
      </c>
      <c r="G113" s="134">
        <v>99</v>
      </c>
      <c r="H113" s="135">
        <v>990</v>
      </c>
      <c r="J113" s="36">
        <v>0</v>
      </c>
      <c r="K113" s="36"/>
      <c r="L113" s="36"/>
      <c r="M113" s="36"/>
      <c r="N113" s="36">
        <f t="shared" si="4"/>
        <v>5000</v>
      </c>
      <c r="O113" s="36"/>
      <c r="P113" s="36">
        <v>5000</v>
      </c>
      <c r="Q113" s="36"/>
      <c r="R113" s="188">
        <v>5000</v>
      </c>
    </row>
    <row r="114" spans="1:18" s="7" customFormat="1" ht="18.95" customHeight="1" x14ac:dyDescent="0.2">
      <c r="A114" s="323" t="s">
        <v>191</v>
      </c>
      <c r="B114" s="323"/>
      <c r="C114" s="323"/>
      <c r="J114" s="161">
        <f>SUM(J45:J113)</f>
        <v>85090</v>
      </c>
      <c r="K114" s="162"/>
      <c r="L114" s="161">
        <f>SUM(L45:L113)</f>
        <v>3470</v>
      </c>
      <c r="M114" s="36"/>
      <c r="N114" s="161">
        <f>SUM(N45:N113)</f>
        <v>1252730</v>
      </c>
      <c r="O114" s="36"/>
      <c r="P114" s="161">
        <f>SUM(P45:P113)</f>
        <v>1256200</v>
      </c>
      <c r="Q114" s="36"/>
      <c r="R114" s="161">
        <f>SUM(R45:R113)</f>
        <v>1316200</v>
      </c>
    </row>
    <row r="115" spans="1:18" s="7" customFormat="1" ht="6" hidden="1" customHeight="1" x14ac:dyDescent="0.2">
      <c r="A115" s="20"/>
      <c r="B115" s="20"/>
      <c r="C115" s="20"/>
      <c r="J115" s="162"/>
      <c r="K115" s="162"/>
      <c r="L115" s="36"/>
      <c r="M115" s="36"/>
      <c r="N115" s="36"/>
      <c r="O115" s="36"/>
      <c r="P115" s="178"/>
      <c r="Q115" s="36"/>
      <c r="R115" s="36"/>
    </row>
    <row r="116" spans="1:18" s="7" customFormat="1" ht="12" hidden="1" customHeight="1" x14ac:dyDescent="0.2">
      <c r="A116" s="69" t="s">
        <v>189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109</v>
      </c>
      <c r="E117" s="112">
        <v>5</v>
      </c>
      <c r="F117" s="113" t="s">
        <v>29</v>
      </c>
      <c r="G117" s="112" t="s">
        <v>7</v>
      </c>
      <c r="H117" s="112" t="s">
        <v>17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180</v>
      </c>
      <c r="E118" s="112">
        <v>5</v>
      </c>
      <c r="F118" s="113" t="s">
        <v>29</v>
      </c>
      <c r="G118" s="112" t="s">
        <v>7</v>
      </c>
      <c r="H118" s="112" t="s">
        <v>64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181</v>
      </c>
      <c r="E120" s="112">
        <v>5</v>
      </c>
      <c r="F120" s="113" t="s">
        <v>29</v>
      </c>
      <c r="G120" s="112" t="s">
        <v>7</v>
      </c>
      <c r="H120" s="114" t="s">
        <v>49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182</v>
      </c>
      <c r="E121" s="112">
        <v>5</v>
      </c>
      <c r="F121" s="113" t="s">
        <v>29</v>
      </c>
      <c r="G121" s="112" t="s">
        <v>7</v>
      </c>
      <c r="H121" s="112" t="s">
        <v>10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181</v>
      </c>
      <c r="E122" s="112">
        <v>5</v>
      </c>
      <c r="F122" s="113" t="s">
        <v>29</v>
      </c>
      <c r="G122" s="112" t="s">
        <v>7</v>
      </c>
      <c r="H122" s="114" t="s">
        <v>49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183</v>
      </c>
      <c r="E123" s="112">
        <v>5</v>
      </c>
      <c r="F123" s="113" t="s">
        <v>29</v>
      </c>
      <c r="G123" s="112" t="s">
        <v>7</v>
      </c>
      <c r="H123" s="112" t="s">
        <v>8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2" hidden="1" customHeight="1" x14ac:dyDescent="0.2">
      <c r="A124" s="86" t="s">
        <v>184</v>
      </c>
      <c r="E124" s="112">
        <v>5</v>
      </c>
      <c r="F124" s="113" t="s">
        <v>29</v>
      </c>
      <c r="G124" s="112" t="s">
        <v>7</v>
      </c>
      <c r="H124" s="112" t="s">
        <v>15</v>
      </c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8.95" hidden="1" customHeight="1" x14ac:dyDescent="0.2">
      <c r="A125" s="63" t="s">
        <v>185</v>
      </c>
      <c r="J125" s="171">
        <f>SUM(J117:J124)</f>
        <v>0</v>
      </c>
      <c r="K125" s="172"/>
      <c r="L125" s="171">
        <f>SUM(L117:L124)</f>
        <v>0</v>
      </c>
      <c r="M125" s="172"/>
      <c r="N125" s="171">
        <f>SUM(N117:N124)</f>
        <v>0</v>
      </c>
      <c r="O125" s="172"/>
      <c r="P125" s="171">
        <f>SUM(P117:P124)</f>
        <v>0</v>
      </c>
      <c r="Q125" s="172"/>
      <c r="R125" s="171">
        <f>SUM(R117:R124)</f>
        <v>0</v>
      </c>
    </row>
    <row r="126" spans="1:18" s="7" customFormat="1" ht="6" customHeight="1" x14ac:dyDescent="0.2"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customHeight="1" x14ac:dyDescent="0.2">
      <c r="A127" s="68" t="s">
        <v>190</v>
      </c>
      <c r="B127" s="11"/>
      <c r="C127" s="11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customHeight="1" x14ac:dyDescent="0.2">
      <c r="A128" s="11" t="s">
        <v>89</v>
      </c>
      <c r="B128" s="24"/>
      <c r="C128" s="24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70" t="s">
        <v>90</v>
      </c>
      <c r="B129" s="9"/>
      <c r="C129" s="9"/>
      <c r="E129" s="112">
        <v>1</v>
      </c>
      <c r="F129" s="113" t="s">
        <v>12</v>
      </c>
      <c r="G129" s="112" t="s">
        <v>54</v>
      </c>
      <c r="H129" s="114" t="s">
        <v>10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92</v>
      </c>
      <c r="B130" s="111"/>
      <c r="C130" s="111"/>
      <c r="E130" s="112">
        <v>1</v>
      </c>
      <c r="F130" s="113" t="s">
        <v>93</v>
      </c>
      <c r="G130" s="112" t="s">
        <v>7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94</v>
      </c>
      <c r="B131" s="111"/>
      <c r="C131" s="111"/>
      <c r="E131" s="112">
        <v>1</v>
      </c>
      <c r="F131" s="113" t="s">
        <v>93</v>
      </c>
      <c r="G131" s="112" t="s">
        <v>34</v>
      </c>
      <c r="H131" s="112" t="s">
        <v>8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95</v>
      </c>
      <c r="B132" s="116"/>
      <c r="C132" s="116"/>
      <c r="E132" s="112">
        <v>1</v>
      </c>
      <c r="F132" s="113" t="s">
        <v>93</v>
      </c>
      <c r="G132" s="112" t="s">
        <v>34</v>
      </c>
      <c r="H132" s="112" t="s">
        <v>49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customHeight="1" x14ac:dyDescent="0.2">
      <c r="A133" s="86" t="s">
        <v>96</v>
      </c>
      <c r="B133" s="116"/>
      <c r="C133" s="116"/>
      <c r="D133" s="113"/>
      <c r="E133" s="112">
        <v>1</v>
      </c>
      <c r="F133" s="113" t="s">
        <v>93</v>
      </c>
      <c r="G133" s="112" t="s">
        <v>54</v>
      </c>
      <c r="H133" s="112" t="s">
        <v>10</v>
      </c>
      <c r="J133" s="36">
        <v>0</v>
      </c>
      <c r="K133" s="36"/>
      <c r="L133" s="36"/>
      <c r="M133" s="36"/>
      <c r="N133" s="36">
        <f>P133-L133</f>
        <v>30000</v>
      </c>
      <c r="O133" s="36"/>
      <c r="P133" s="36">
        <v>30000</v>
      </c>
      <c r="Q133" s="36"/>
      <c r="R133" s="36"/>
    </row>
    <row r="134" spans="1:18" s="7" customFormat="1" ht="12.75" customHeight="1" x14ac:dyDescent="0.2">
      <c r="A134" s="86" t="s">
        <v>97</v>
      </c>
      <c r="B134" s="111"/>
      <c r="C134" s="111"/>
      <c r="E134" s="112">
        <v>1</v>
      </c>
      <c r="F134" s="113" t="s">
        <v>93</v>
      </c>
      <c r="G134" s="112" t="s">
        <v>93</v>
      </c>
      <c r="H134" s="112" t="s">
        <v>8</v>
      </c>
      <c r="J134" s="36"/>
      <c r="K134" s="36"/>
      <c r="L134" s="36"/>
      <c r="M134" s="36"/>
      <c r="N134" s="36">
        <f>P134-L134</f>
        <v>120000</v>
      </c>
      <c r="O134" s="36"/>
      <c r="P134" s="36">
        <v>120000</v>
      </c>
      <c r="Q134" s="36"/>
      <c r="R134" s="36"/>
    </row>
    <row r="135" spans="1:18" s="7" customFormat="1" ht="12.75" hidden="1" customHeight="1" x14ac:dyDescent="0.2">
      <c r="A135" s="86" t="s">
        <v>98</v>
      </c>
      <c r="B135" s="116"/>
      <c r="C135" s="116"/>
      <c r="E135" s="112">
        <v>1</v>
      </c>
      <c r="F135" s="113" t="s">
        <v>93</v>
      </c>
      <c r="G135" s="112" t="s">
        <v>54</v>
      </c>
      <c r="H135" s="112" t="s">
        <v>15</v>
      </c>
      <c r="J135" s="36"/>
      <c r="K135" s="36"/>
      <c r="L135" s="36"/>
      <c r="M135" s="36"/>
      <c r="N135" s="36">
        <f>P135-L135</f>
        <v>0</v>
      </c>
      <c r="O135" s="36"/>
      <c r="P135" s="36"/>
      <c r="Q135" s="36"/>
      <c r="R135" s="36"/>
    </row>
    <row r="136" spans="1:18" s="7" customFormat="1" ht="12.75" hidden="1" customHeight="1" x14ac:dyDescent="0.2">
      <c r="A136" s="86" t="s">
        <v>99</v>
      </c>
      <c r="B136" s="116"/>
      <c r="C136" s="116"/>
      <c r="D136" s="113"/>
      <c r="E136" s="112">
        <v>1</v>
      </c>
      <c r="F136" s="113" t="s">
        <v>93</v>
      </c>
      <c r="G136" s="112" t="s">
        <v>93</v>
      </c>
      <c r="H136" s="112" t="s">
        <v>10</v>
      </c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100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19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175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82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176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45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177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146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101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102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103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24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104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28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105</v>
      </c>
      <c r="B144" s="111"/>
      <c r="C144" s="111"/>
      <c r="D144" s="113"/>
      <c r="E144" s="112">
        <v>1</v>
      </c>
      <c r="F144" s="113" t="s">
        <v>93</v>
      </c>
      <c r="G144" s="112" t="s">
        <v>54</v>
      </c>
      <c r="H144" s="114" t="s">
        <v>49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106</v>
      </c>
      <c r="B145" s="111"/>
      <c r="C145" s="111"/>
      <c r="D145" s="113"/>
      <c r="E145" s="112">
        <v>1</v>
      </c>
      <c r="F145" s="113" t="s">
        <v>93</v>
      </c>
      <c r="G145" s="112" t="s">
        <v>67</v>
      </c>
      <c r="H145" s="112" t="s">
        <v>8</v>
      </c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107</v>
      </c>
      <c r="B146" s="111"/>
      <c r="C146" s="111"/>
      <c r="D146" s="113"/>
      <c r="E146" s="112">
        <v>1</v>
      </c>
      <c r="F146" s="113" t="s">
        <v>93</v>
      </c>
      <c r="G146" s="112" t="s">
        <v>59</v>
      </c>
      <c r="H146" s="114" t="s">
        <v>49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178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8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179</v>
      </c>
      <c r="B148" s="111"/>
      <c r="C148" s="111"/>
      <c r="D148" s="113"/>
      <c r="E148" s="112">
        <v>1</v>
      </c>
      <c r="F148" s="113" t="s">
        <v>93</v>
      </c>
      <c r="G148" s="112" t="s">
        <v>29</v>
      </c>
      <c r="H148" s="112" t="s">
        <v>45</v>
      </c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M149" s="172"/>
      <c r="N149" s="21">
        <f>SUM(N130:N144)</f>
        <v>150000</v>
      </c>
      <c r="O149" s="172"/>
      <c r="P149" s="21">
        <f>SUM(P130:P144)</f>
        <v>150000</v>
      </c>
      <c r="Q149" s="172"/>
      <c r="R149" s="21">
        <f>SUM(R130:R144)</f>
        <v>0</v>
      </c>
    </row>
    <row r="150" spans="1:18" s="7" customFormat="1" ht="6" customHeight="1" x14ac:dyDescent="0.2"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J42+J114+J125+J149</f>
        <v>24398288.489999998</v>
      </c>
      <c r="K151" s="23"/>
      <c r="L151" s="29">
        <f>L42+L114+L125+L149</f>
        <v>8861777.7599999998</v>
      </c>
      <c r="M151" s="36"/>
      <c r="N151" s="29">
        <f>N42+N114+N125+N149</f>
        <v>20448189.419999998</v>
      </c>
      <c r="O151" s="36"/>
      <c r="P151" s="29">
        <f>P42+P114+P125+P149</f>
        <v>29309967.180000003</v>
      </c>
      <c r="Q151" s="36"/>
      <c r="R151" s="29">
        <f>R42+R114+R125+R149</f>
        <v>29065450.140000001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321" t="s">
        <v>133</v>
      </c>
      <c r="B155" s="321"/>
      <c r="C155" s="321"/>
      <c r="D155" s="33"/>
      <c r="E155" s="32"/>
      <c r="G155" s="31"/>
      <c r="I155" s="31"/>
      <c r="J155" s="321" t="s">
        <v>134</v>
      </c>
      <c r="K155" s="321"/>
      <c r="L155" s="321"/>
      <c r="M155" s="47"/>
      <c r="N155" s="49"/>
      <c r="O155" s="49"/>
      <c r="P155" s="311" t="s">
        <v>135</v>
      </c>
      <c r="Q155" s="311"/>
      <c r="R155" s="311"/>
    </row>
    <row r="156" spans="1:18" x14ac:dyDescent="0.2">
      <c r="A156" s="50"/>
      <c r="D156" s="33"/>
      <c r="E156" s="51"/>
      <c r="G156" s="31"/>
      <c r="I156" s="31"/>
      <c r="J156" s="168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68"/>
      <c r="M157" s="95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322" t="s">
        <v>279</v>
      </c>
      <c r="B159" s="322"/>
      <c r="C159" s="322"/>
      <c r="D159" s="55"/>
      <c r="E159" s="56"/>
      <c r="G159" s="31"/>
      <c r="I159" s="31"/>
      <c r="J159" s="322" t="s">
        <v>291</v>
      </c>
      <c r="K159" s="322"/>
      <c r="L159" s="322"/>
      <c r="M159" s="57"/>
      <c r="N159" s="59"/>
      <c r="O159" s="59"/>
      <c r="P159" s="312" t="s">
        <v>137</v>
      </c>
      <c r="Q159" s="312"/>
      <c r="R159" s="312"/>
    </row>
    <row r="160" spans="1:18" x14ac:dyDescent="0.2">
      <c r="A160" s="321" t="s">
        <v>347</v>
      </c>
      <c r="B160" s="321"/>
      <c r="C160" s="321"/>
      <c r="D160" s="31"/>
      <c r="E160" s="32"/>
      <c r="G160" s="31"/>
      <c r="I160" s="31"/>
      <c r="J160" s="321" t="s">
        <v>269</v>
      </c>
      <c r="K160" s="321"/>
      <c r="L160" s="321"/>
      <c r="M160" s="33"/>
      <c r="N160" s="35"/>
      <c r="O160" s="35"/>
      <c r="P160" s="313" t="s">
        <v>139</v>
      </c>
      <c r="Q160" s="313"/>
      <c r="R160" s="313"/>
    </row>
  </sheetData>
  <customSheetViews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R112" sqref="R1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2" sqref="C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3" activePane="bottomRight" state="frozen"/>
      <selection pane="bottomRight" activeCell="R112" sqref="R1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3" activePane="bottomRight" state="frozen"/>
      <selection pane="bottomRight" activeCell="R154" sqref="R154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3" activePane="bottomRight" state="frozen"/>
      <selection pane="bottomRight" activeCell="C96" sqref="C9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  <mergeCell ref="A13:C13"/>
    <mergeCell ref="E13:H13"/>
    <mergeCell ref="A114:C11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5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59"/>
  <sheetViews>
    <sheetView view="pageBreakPreview" zoomScaleNormal="85" zoomScaleSheetLayoutView="100"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J35" sqref="J3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210</v>
      </c>
      <c r="H4" s="3"/>
      <c r="I4" s="3"/>
      <c r="R4" s="77">
        <v>1131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158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13">
        <v>5011357.78</v>
      </c>
      <c r="K16" s="13"/>
      <c r="L16" s="36">
        <v>2390294.7400000002</v>
      </c>
      <c r="M16" s="36"/>
      <c r="N16" s="36">
        <f t="shared" ref="N16:N21" si="0">P16-L16</f>
        <v>5354964.9799999995</v>
      </c>
      <c r="O16" s="36"/>
      <c r="P16" s="36">
        <v>7745259.7199999997</v>
      </c>
      <c r="Q16" s="36"/>
      <c r="R16" s="36">
        <v>8015547.4800000004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9"/>
      <c r="K17" s="39"/>
      <c r="L17" s="36"/>
      <c r="M17" s="36"/>
      <c r="N17" s="36">
        <f t="shared" si="0"/>
        <v>0</v>
      </c>
      <c r="O17" s="36"/>
      <c r="P17" s="36"/>
      <c r="Q17" s="36"/>
      <c r="R17" s="36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13">
        <v>239391.3</v>
      </c>
      <c r="K18" s="13"/>
      <c r="L18" s="36">
        <v>112000</v>
      </c>
      <c r="M18" s="36"/>
      <c r="N18" s="36">
        <f t="shared" si="0"/>
        <v>224000</v>
      </c>
      <c r="O18" s="36"/>
      <c r="P18" s="36">
        <v>336000</v>
      </c>
      <c r="Q18" s="36"/>
      <c r="R18" s="36">
        <v>336000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13">
        <v>192000</v>
      </c>
      <c r="K19" s="13"/>
      <c r="L19" s="36">
        <v>96000</v>
      </c>
      <c r="M19" s="36"/>
      <c r="N19" s="36">
        <f t="shared" si="0"/>
        <v>96000</v>
      </c>
      <c r="O19" s="36"/>
      <c r="P19" s="36">
        <v>192000</v>
      </c>
      <c r="Q19" s="36"/>
      <c r="R19" s="36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13">
        <v>192000</v>
      </c>
      <c r="K20" s="13"/>
      <c r="L20" s="36">
        <v>87500</v>
      </c>
      <c r="M20" s="36"/>
      <c r="N20" s="36">
        <f t="shared" si="0"/>
        <v>104500</v>
      </c>
      <c r="O20" s="36"/>
      <c r="P20" s="36">
        <v>192000</v>
      </c>
      <c r="Q20" s="36"/>
      <c r="R20" s="36">
        <v>192000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13">
        <v>60000</v>
      </c>
      <c r="K21" s="13"/>
      <c r="L21" s="36">
        <v>54000</v>
      </c>
      <c r="M21" s="36"/>
      <c r="N21" s="36">
        <f t="shared" si="0"/>
        <v>30000</v>
      </c>
      <c r="O21" s="36"/>
      <c r="P21" s="36">
        <v>84000</v>
      </c>
      <c r="Q21" s="36"/>
      <c r="R21" s="36">
        <v>84000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13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13"/>
      <c r="K24" s="13"/>
      <c r="L24" s="36"/>
      <c r="M24" s="36"/>
      <c r="N24" s="36">
        <f t="shared" ref="N24:N36" si="1">P24-L24</f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13"/>
      <c r="K25" s="13"/>
      <c r="L25" s="36"/>
      <c r="M25" s="36"/>
      <c r="N25" s="36">
        <f t="shared" si="1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13"/>
      <c r="K27" s="13"/>
      <c r="L27" s="36">
        <v>69000</v>
      </c>
      <c r="M27" s="36"/>
      <c r="N27" s="36">
        <f t="shared" si="1"/>
        <v>9000</v>
      </c>
      <c r="O27" s="36"/>
      <c r="P27" s="36">
        <v>78000</v>
      </c>
      <c r="Q27" s="36"/>
      <c r="R27" s="36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422277</v>
      </c>
      <c r="K30" s="36"/>
      <c r="L30" s="163"/>
      <c r="M30" s="36"/>
      <c r="N30" s="36">
        <f>P30-L30</f>
        <v>649358</v>
      </c>
      <c r="O30" s="36"/>
      <c r="P30" s="36">
        <v>649358</v>
      </c>
      <c r="Q30" s="36"/>
      <c r="R30" s="36">
        <v>669413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50000</v>
      </c>
      <c r="K31" s="36"/>
      <c r="L31" s="163"/>
      <c r="M31" s="36"/>
      <c r="N31" s="36">
        <f t="shared" si="1"/>
        <v>70000</v>
      </c>
      <c r="O31" s="36"/>
      <c r="P31" s="36">
        <v>70000</v>
      </c>
      <c r="Q31" s="36"/>
      <c r="R31" s="36">
        <v>70000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13">
        <v>422185</v>
      </c>
      <c r="K32" s="13"/>
      <c r="L32" s="36">
        <v>381459</v>
      </c>
      <c r="M32" s="36"/>
      <c r="N32" s="36">
        <f>P32-L32</f>
        <v>267899</v>
      </c>
      <c r="O32" s="36"/>
      <c r="P32" s="36">
        <v>649358</v>
      </c>
      <c r="Q32" s="36"/>
      <c r="R32" s="36">
        <v>669413</v>
      </c>
    </row>
    <row r="33" spans="1:18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601372.28</v>
      </c>
      <c r="K33" s="36"/>
      <c r="L33" s="36">
        <v>286494.90000000002</v>
      </c>
      <c r="M33" s="36"/>
      <c r="N33" s="36">
        <f t="shared" si="1"/>
        <v>648580.62</v>
      </c>
      <c r="O33" s="36"/>
      <c r="P33" s="36">
        <v>935075.52</v>
      </c>
      <c r="Q33" s="36"/>
      <c r="R33" s="36">
        <v>963954.72</v>
      </c>
    </row>
    <row r="34" spans="1:18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12000</v>
      </c>
      <c r="K34" s="36"/>
      <c r="L34" s="36">
        <v>5600</v>
      </c>
      <c r="M34" s="36"/>
      <c r="N34" s="36">
        <f t="shared" si="1"/>
        <v>11200</v>
      </c>
      <c r="O34" s="36"/>
      <c r="P34" s="36">
        <v>16800</v>
      </c>
      <c r="Q34" s="36"/>
      <c r="R34" s="36">
        <v>16800</v>
      </c>
    </row>
    <row r="35" spans="1:18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49596.86</v>
      </c>
      <c r="K35" s="36"/>
      <c r="L35" s="36">
        <v>28040.76</v>
      </c>
      <c r="M35" s="36"/>
      <c r="N35" s="36">
        <f t="shared" si="1"/>
        <v>67996.260000000009</v>
      </c>
      <c r="O35" s="36"/>
      <c r="P35" s="36">
        <v>96037.02</v>
      </c>
      <c r="Q35" s="36"/>
      <c r="R35" s="36">
        <v>124671.54</v>
      </c>
    </row>
    <row r="36" spans="1:18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12000</v>
      </c>
      <c r="K36" s="36"/>
      <c r="L36" s="36">
        <v>5600</v>
      </c>
      <c r="M36" s="36"/>
      <c r="N36" s="36">
        <f t="shared" si="1"/>
        <v>11200</v>
      </c>
      <c r="O36" s="36"/>
      <c r="P36" s="36">
        <v>16800</v>
      </c>
      <c r="Q36" s="36"/>
      <c r="R36" s="36">
        <v>16800</v>
      </c>
    </row>
    <row r="37" spans="1:18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18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/>
      <c r="O38" s="36"/>
      <c r="P38" s="36"/>
      <c r="Q38" s="36"/>
      <c r="R38" s="36"/>
    </row>
    <row r="39" spans="1:18" s="7" customFormat="1" ht="12.75" hidden="1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/>
      <c r="K39" s="36"/>
      <c r="L39" s="36"/>
      <c r="M39" s="36"/>
      <c r="N39" s="36">
        <f t="shared" ref="N39" si="2">P39-L39</f>
        <v>0</v>
      </c>
      <c r="O39" s="36"/>
      <c r="P39" s="36"/>
      <c r="Q39" s="36"/>
      <c r="R39" s="36"/>
    </row>
    <row r="40" spans="1:18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60000</v>
      </c>
      <c r="K40" s="36"/>
      <c r="L40" s="163"/>
      <c r="M40" s="36"/>
      <c r="N40" s="36">
        <f>P40-L40</f>
        <v>70000</v>
      </c>
      <c r="O40" s="36"/>
      <c r="P40" s="36">
        <v>70000</v>
      </c>
      <c r="Q40" s="36"/>
      <c r="R40" s="36">
        <v>70000</v>
      </c>
    </row>
    <row r="41" spans="1:18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s="7" customFormat="1" ht="18.95" customHeight="1" x14ac:dyDescent="0.2">
      <c r="A42" s="63" t="s">
        <v>36</v>
      </c>
      <c r="B42" s="26"/>
      <c r="C42" s="26"/>
      <c r="J42" s="161">
        <f>SUM(J16:J41)</f>
        <v>7324180.2200000007</v>
      </c>
      <c r="K42" s="162"/>
      <c r="L42" s="161">
        <f>SUM(L16:L41)</f>
        <v>3515989.4</v>
      </c>
      <c r="M42" s="36"/>
      <c r="N42" s="161">
        <f>SUM(N16:N41)</f>
        <v>7614698.8599999994</v>
      </c>
      <c r="O42" s="36"/>
      <c r="P42" s="161">
        <f>SUM(P16:P41)</f>
        <v>11130688.259999998</v>
      </c>
      <c r="Q42" s="36"/>
      <c r="R42" s="161">
        <f>SUM(R16:R41)</f>
        <v>11420599.74</v>
      </c>
    </row>
    <row r="43" spans="1:18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18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163">
        <v>0</v>
      </c>
      <c r="K45" s="36"/>
      <c r="L45" s="36"/>
      <c r="M45" s="36"/>
      <c r="N45" s="36">
        <f t="shared" ref="N45:N76" si="3">P45-L45</f>
        <v>50400</v>
      </c>
      <c r="O45" s="36"/>
      <c r="P45" s="36">
        <v>50400</v>
      </c>
      <c r="Q45" s="36"/>
      <c r="R45" s="36">
        <v>50400</v>
      </c>
    </row>
    <row r="46" spans="1:18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>
        <f t="shared" si="3"/>
        <v>0</v>
      </c>
      <c r="O46" s="36"/>
      <c r="P46" s="36"/>
      <c r="Q46" s="36"/>
      <c r="R46" s="36"/>
    </row>
    <row r="47" spans="1:18" s="7" customFormat="1" ht="12.75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>
        <v>9460</v>
      </c>
      <c r="K47" s="36"/>
      <c r="L47" s="36"/>
      <c r="M47" s="36"/>
      <c r="N47" s="36">
        <f t="shared" si="3"/>
        <v>0</v>
      </c>
      <c r="O47" s="36"/>
      <c r="P47" s="36"/>
      <c r="Q47" s="36"/>
      <c r="R47" s="36"/>
    </row>
    <row r="48" spans="1:18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36"/>
      <c r="K48" s="36"/>
      <c r="L48" s="36"/>
      <c r="M48" s="36"/>
      <c r="N48" s="36">
        <f t="shared" si="3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40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8</v>
      </c>
      <c r="J49" s="36"/>
      <c r="K49" s="36"/>
      <c r="L49" s="36"/>
      <c r="M49" s="36"/>
      <c r="N49" s="36"/>
      <c r="O49" s="36"/>
      <c r="P49" s="36"/>
      <c r="Q49" s="36"/>
      <c r="R49" s="36"/>
    </row>
    <row r="50" spans="1:18" s="7" customFormat="1" ht="12.75" hidden="1" customHeight="1" x14ac:dyDescent="0.2">
      <c r="A50" s="86" t="s">
        <v>41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10</v>
      </c>
      <c r="J50" s="36"/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42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17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43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64</v>
      </c>
      <c r="J52" s="36"/>
      <c r="K52" s="36"/>
      <c r="L52" s="36"/>
      <c r="M52" s="36"/>
      <c r="N52" s="36">
        <f t="shared" si="3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88</v>
      </c>
      <c r="B53" s="111"/>
      <c r="C53" s="111"/>
      <c r="E53" s="112">
        <v>5</v>
      </c>
      <c r="F53" s="113" t="s">
        <v>12</v>
      </c>
      <c r="G53" s="112" t="s">
        <v>29</v>
      </c>
      <c r="H53" s="112" t="s">
        <v>60</v>
      </c>
      <c r="J53" s="36"/>
      <c r="K53" s="36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150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19</v>
      </c>
      <c r="J54" s="39"/>
      <c r="K54" s="39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151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82</v>
      </c>
      <c r="J55" s="39"/>
      <c r="K55" s="39"/>
      <c r="L55" s="36"/>
      <c r="M55" s="36"/>
      <c r="N55" s="36">
        <f t="shared" si="3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44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45</v>
      </c>
      <c r="J56" s="39"/>
      <c r="K56" s="39"/>
      <c r="L56" s="36"/>
      <c r="M56" s="36"/>
      <c r="N56" s="36">
        <f t="shared" si="3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152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102</v>
      </c>
      <c r="J57" s="36"/>
      <c r="K57" s="36"/>
      <c r="L57" s="36"/>
      <c r="M57" s="36"/>
      <c r="N57" s="36">
        <f t="shared" si="3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153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146</v>
      </c>
      <c r="J58" s="36"/>
      <c r="K58" s="36"/>
      <c r="L58" s="36"/>
      <c r="M58" s="36"/>
      <c r="N58" s="36">
        <f t="shared" si="3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46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47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154</v>
      </c>
      <c r="B60" s="111"/>
      <c r="C60" s="111"/>
      <c r="E60" s="112">
        <v>5</v>
      </c>
      <c r="F60" s="113" t="s">
        <v>12</v>
      </c>
      <c r="G60" s="112" t="s">
        <v>29</v>
      </c>
      <c r="H60" s="112" t="s">
        <v>15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51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24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customHeight="1" x14ac:dyDescent="0.2">
      <c r="A62" s="86" t="s">
        <v>48</v>
      </c>
      <c r="B62" s="111"/>
      <c r="C62" s="111"/>
      <c r="E62" s="112">
        <v>5</v>
      </c>
      <c r="F62" s="113" t="s">
        <v>12</v>
      </c>
      <c r="G62" s="112" t="s">
        <v>29</v>
      </c>
      <c r="H62" s="114" t="s">
        <v>49</v>
      </c>
      <c r="J62" s="36">
        <v>0</v>
      </c>
      <c r="K62" s="36"/>
      <c r="L62" s="36"/>
      <c r="M62" s="36"/>
      <c r="N62" s="36">
        <f t="shared" si="3"/>
        <v>1000</v>
      </c>
      <c r="O62" s="36"/>
      <c r="P62" s="36">
        <v>1000</v>
      </c>
      <c r="Q62" s="36"/>
      <c r="R62" s="36">
        <v>1000</v>
      </c>
    </row>
    <row r="63" spans="1:18" s="7" customFormat="1" ht="12.75" hidden="1" customHeight="1" x14ac:dyDescent="0.2">
      <c r="A63" s="86" t="s">
        <v>50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8</v>
      </c>
      <c r="J63" s="36"/>
      <c r="K63" s="36"/>
      <c r="L63" s="36"/>
      <c r="M63" s="36"/>
      <c r="N63" s="36">
        <f t="shared" si="3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52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10</v>
      </c>
      <c r="J64" s="36"/>
      <c r="K64" s="36"/>
      <c r="L64" s="36"/>
      <c r="M64" s="36"/>
      <c r="N64" s="36">
        <f t="shared" si="3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48</v>
      </c>
      <c r="B65" s="111"/>
      <c r="C65" s="111"/>
      <c r="D65" s="112"/>
      <c r="E65" s="112">
        <v>5</v>
      </c>
      <c r="F65" s="113" t="s">
        <v>12</v>
      </c>
      <c r="G65" s="112" t="s">
        <v>29</v>
      </c>
      <c r="H65" s="114" t="s">
        <v>49</v>
      </c>
      <c r="J65" s="36"/>
      <c r="K65" s="36"/>
      <c r="L65" s="36"/>
      <c r="M65" s="36"/>
      <c r="N65" s="36">
        <f t="shared" si="3"/>
        <v>0</v>
      </c>
      <c r="O65" s="36"/>
      <c r="P65" s="36"/>
      <c r="Q65" s="36"/>
      <c r="R65" s="36"/>
    </row>
    <row r="66" spans="1:18" s="7" customFormat="1" ht="12.75" customHeight="1" x14ac:dyDescent="0.2">
      <c r="A66" s="86" t="s">
        <v>53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8</v>
      </c>
      <c r="J66" s="36">
        <v>0</v>
      </c>
      <c r="K66" s="36"/>
      <c r="L66" s="36"/>
      <c r="M66" s="36"/>
      <c r="N66" s="36">
        <f t="shared" si="3"/>
        <v>2000</v>
      </c>
      <c r="O66" s="36"/>
      <c r="P66" s="36">
        <v>2000</v>
      </c>
      <c r="Q66" s="36"/>
      <c r="R66" s="36">
        <v>2000</v>
      </c>
    </row>
    <row r="67" spans="1:18" s="7" customFormat="1" ht="12.75" hidden="1" customHeight="1" x14ac:dyDescent="0.2">
      <c r="A67" s="86" t="s">
        <v>55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10</v>
      </c>
      <c r="J67" s="36"/>
      <c r="K67" s="36"/>
      <c r="L67" s="36"/>
      <c r="M67" s="36"/>
      <c r="N67" s="36">
        <f t="shared" si="3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56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15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57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17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58</v>
      </c>
      <c r="B70" s="111"/>
      <c r="C70" s="111"/>
      <c r="E70" s="112">
        <v>5</v>
      </c>
      <c r="F70" s="112" t="s">
        <v>12</v>
      </c>
      <c r="G70" s="112" t="s">
        <v>59</v>
      </c>
      <c r="H70" s="112" t="s">
        <v>60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66</v>
      </c>
      <c r="B71" s="111"/>
      <c r="C71" s="111"/>
      <c r="E71" s="112">
        <v>5</v>
      </c>
      <c r="F71" s="113" t="s">
        <v>12</v>
      </c>
      <c r="G71" s="112" t="s">
        <v>67</v>
      </c>
      <c r="H71" s="112" t="s">
        <v>8</v>
      </c>
      <c r="J71" s="36"/>
      <c r="K71" s="36"/>
      <c r="L71" s="36"/>
      <c r="M71" s="36"/>
      <c r="N71" s="36">
        <f t="shared" si="3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61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8</v>
      </c>
      <c r="J72" s="36"/>
      <c r="K72" s="36"/>
      <c r="L72" s="36"/>
      <c r="M72" s="36"/>
      <c r="N72" s="36">
        <f t="shared" si="3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62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10</v>
      </c>
      <c r="J73" s="36"/>
      <c r="K73" s="36"/>
      <c r="L73" s="36"/>
      <c r="M73" s="36"/>
      <c r="N73" s="36">
        <f t="shared" si="3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3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155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15</v>
      </c>
      <c r="J75" s="36"/>
      <c r="K75" s="36"/>
      <c r="L75" s="36"/>
      <c r="M75" s="36"/>
      <c r="N75" s="36">
        <f t="shared" si="3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156</v>
      </c>
      <c r="B76" s="111"/>
      <c r="C76" s="111"/>
      <c r="E76" s="112">
        <v>5</v>
      </c>
      <c r="F76" s="112" t="s">
        <v>12</v>
      </c>
      <c r="G76" s="112" t="s">
        <v>59</v>
      </c>
      <c r="H76" s="112" t="s">
        <v>17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63</v>
      </c>
      <c r="B77" s="111"/>
      <c r="C77" s="111"/>
      <c r="E77" s="112">
        <v>5</v>
      </c>
      <c r="F77" s="113" t="s">
        <v>12</v>
      </c>
      <c r="G77" s="112" t="s">
        <v>59</v>
      </c>
      <c r="H77" s="112" t="s">
        <v>64</v>
      </c>
      <c r="J77" s="36"/>
      <c r="K77" s="36"/>
      <c r="L77" s="36"/>
      <c r="M77" s="36"/>
      <c r="N77" s="36">
        <f t="shared" ref="N77:N112" si="4">P77-L77</f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65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19</v>
      </c>
      <c r="J78" s="36"/>
      <c r="K78" s="36"/>
      <c r="L78" s="36"/>
      <c r="M78" s="36"/>
      <c r="N78" s="36">
        <f t="shared" si="4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157</v>
      </c>
      <c r="B79" s="111"/>
      <c r="C79" s="111"/>
      <c r="E79" s="112">
        <v>5</v>
      </c>
      <c r="F79" s="113" t="s">
        <v>12</v>
      </c>
      <c r="G79" s="112" t="s">
        <v>93</v>
      </c>
      <c r="H79" s="112" t="s">
        <v>8</v>
      </c>
      <c r="J79" s="36"/>
      <c r="K79" s="36"/>
      <c r="L79" s="36"/>
      <c r="M79" s="36"/>
      <c r="N79" s="36">
        <f t="shared" si="4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66</v>
      </c>
      <c r="B80" s="111"/>
      <c r="C80" s="111"/>
      <c r="E80" s="112">
        <v>5</v>
      </c>
      <c r="F80" s="113" t="s">
        <v>12</v>
      </c>
      <c r="G80" s="112" t="s">
        <v>67</v>
      </c>
      <c r="H80" s="112" t="s">
        <v>8</v>
      </c>
      <c r="J80" s="36"/>
      <c r="K80" s="36"/>
      <c r="L80" s="36"/>
      <c r="M80" s="36"/>
      <c r="N80" s="36">
        <f t="shared" si="4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68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10</v>
      </c>
      <c r="J81" s="36"/>
      <c r="K81" s="36"/>
      <c r="L81" s="36"/>
      <c r="M81" s="36"/>
      <c r="N81" s="36">
        <f t="shared" si="4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158</v>
      </c>
      <c r="B82" s="111"/>
      <c r="C82" s="111"/>
      <c r="E82" s="112">
        <v>5</v>
      </c>
      <c r="F82" s="113" t="s">
        <v>12</v>
      </c>
      <c r="G82" s="112" t="s">
        <v>70</v>
      </c>
      <c r="H82" s="112" t="s">
        <v>8</v>
      </c>
      <c r="J82" s="36"/>
      <c r="K82" s="36"/>
      <c r="L82" s="36"/>
      <c r="M82" s="36"/>
      <c r="N82" s="36">
        <f t="shared" si="4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159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10</v>
      </c>
      <c r="J83" s="36"/>
      <c r="K83" s="36"/>
      <c r="L83" s="36"/>
      <c r="M83" s="36"/>
      <c r="N83" s="36">
        <f t="shared" si="4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69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15</v>
      </c>
      <c r="J84" s="36"/>
      <c r="K84" s="36"/>
      <c r="L84" s="36"/>
      <c r="M84" s="36"/>
      <c r="N84" s="36">
        <f t="shared" si="4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160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8</v>
      </c>
      <c r="J85" s="36"/>
      <c r="K85" s="36"/>
      <c r="L85" s="36"/>
      <c r="M85" s="36"/>
      <c r="N85" s="36">
        <f t="shared" si="4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161</v>
      </c>
      <c r="B86" s="111"/>
      <c r="C86" s="111"/>
      <c r="E86" s="112">
        <v>5</v>
      </c>
      <c r="F86" s="113" t="s">
        <v>12</v>
      </c>
      <c r="G86" s="112" t="s">
        <v>163</v>
      </c>
      <c r="H86" s="114" t="s">
        <v>49</v>
      </c>
      <c r="J86" s="36"/>
      <c r="K86" s="36"/>
      <c r="L86" s="36"/>
      <c r="M86" s="36"/>
      <c r="N86" s="36">
        <f t="shared" si="4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71</v>
      </c>
      <c r="B87" s="111"/>
      <c r="C87" s="111"/>
      <c r="E87" s="112">
        <v>5</v>
      </c>
      <c r="F87" s="113" t="s">
        <v>12</v>
      </c>
      <c r="G87" s="112" t="s">
        <v>163</v>
      </c>
      <c r="H87" s="112" t="s">
        <v>10</v>
      </c>
      <c r="J87" s="36"/>
      <c r="K87" s="36"/>
      <c r="L87" s="36"/>
      <c r="M87" s="36"/>
      <c r="N87" s="36">
        <f t="shared" si="4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162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15</v>
      </c>
      <c r="J88" s="36"/>
      <c r="K88" s="36"/>
      <c r="L88" s="36"/>
      <c r="M88" s="36"/>
      <c r="N88" s="36">
        <f t="shared" si="4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72</v>
      </c>
      <c r="B89" s="111"/>
      <c r="C89" s="111"/>
      <c r="E89" s="112">
        <v>5</v>
      </c>
      <c r="F89" s="113" t="s">
        <v>12</v>
      </c>
      <c r="G89" s="112" t="s">
        <v>70</v>
      </c>
      <c r="H89" s="112" t="s">
        <v>49</v>
      </c>
      <c r="J89" s="36"/>
      <c r="K89" s="36"/>
      <c r="L89" s="36"/>
      <c r="M89" s="36"/>
      <c r="N89" s="36">
        <f t="shared" si="4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164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10</v>
      </c>
      <c r="J90" s="36"/>
      <c r="K90" s="36"/>
      <c r="L90" s="36"/>
      <c r="M90" s="36"/>
      <c r="N90" s="36">
        <f t="shared" si="4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165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15</v>
      </c>
      <c r="J91" s="36"/>
      <c r="K91" s="36"/>
      <c r="L91" s="36"/>
      <c r="M91" s="36"/>
      <c r="N91" s="36">
        <f t="shared" si="4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166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17</v>
      </c>
      <c r="J92" s="36"/>
      <c r="K92" s="36"/>
      <c r="L92" s="36"/>
      <c r="M92" s="36"/>
      <c r="N92" s="36">
        <f t="shared" si="4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167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8</v>
      </c>
      <c r="J93" s="36"/>
      <c r="K93" s="36"/>
      <c r="L93" s="36"/>
      <c r="M93" s="36"/>
      <c r="N93" s="36">
        <f t="shared" si="4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168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45</v>
      </c>
      <c r="J94" s="36"/>
      <c r="K94" s="36"/>
      <c r="L94" s="36"/>
      <c r="M94" s="36"/>
      <c r="N94" s="36">
        <f t="shared" si="4"/>
        <v>0</v>
      </c>
      <c r="O94" s="36"/>
      <c r="P94" s="36"/>
      <c r="Q94" s="36"/>
      <c r="R94" s="36"/>
    </row>
    <row r="95" spans="1:18" s="7" customFormat="1" ht="12.75" customHeight="1" x14ac:dyDescent="0.2">
      <c r="A95" s="86" t="s">
        <v>73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64</v>
      </c>
      <c r="J95" s="36">
        <v>22500</v>
      </c>
      <c r="K95" s="36"/>
      <c r="L95" s="36"/>
      <c r="M95" s="36"/>
      <c r="N95" s="36">
        <f t="shared" si="4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>
        <v>0</v>
      </c>
      <c r="K96" s="36"/>
      <c r="L96" s="36"/>
      <c r="M96" s="36"/>
      <c r="N96" s="36">
        <f t="shared" si="4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4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4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4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4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4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4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4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4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4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4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4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4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4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4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4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0</v>
      </c>
      <c r="K112" s="36"/>
      <c r="L112" s="36"/>
      <c r="M112" s="36"/>
      <c r="N112" s="36">
        <f t="shared" si="4"/>
        <v>100000</v>
      </c>
      <c r="O112" s="36"/>
      <c r="P112" s="36">
        <v>100000</v>
      </c>
      <c r="Q112" s="36"/>
      <c r="R112" s="36">
        <v>100000</v>
      </c>
    </row>
    <row r="113" spans="1:18" s="7" customFormat="1" ht="15" customHeight="1" x14ac:dyDescent="0.2">
      <c r="A113" s="323" t="s">
        <v>191</v>
      </c>
      <c r="B113" s="323"/>
      <c r="C113" s="323"/>
      <c r="J113" s="161">
        <f>SUM(J45:J112)</f>
        <v>31960</v>
      </c>
      <c r="K113" s="162"/>
      <c r="L113" s="161">
        <f>SUM(L45:L112)</f>
        <v>0</v>
      </c>
      <c r="M113" s="36"/>
      <c r="N113" s="161">
        <f>SUM(N45:N112)</f>
        <v>153400</v>
      </c>
      <c r="O113" s="36"/>
      <c r="P113" s="161">
        <f>SUM(P45:P112)</f>
        <v>153400</v>
      </c>
      <c r="Q113" s="36"/>
      <c r="R113" s="161">
        <f>SUM(R45:R112)</f>
        <v>153400</v>
      </c>
    </row>
    <row r="114" spans="1:18" s="7" customFormat="1" ht="6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>
        <f>P121-L121</f>
        <v>0</v>
      </c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7.2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6" hidden="1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customHeight="1" x14ac:dyDescent="0.2">
      <c r="A127" s="11" t="s">
        <v>89</v>
      </c>
      <c r="B127" s="24"/>
      <c r="C127" s="2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92</v>
      </c>
      <c r="B129" s="111"/>
      <c r="C129" s="111"/>
      <c r="E129" s="112">
        <v>1</v>
      </c>
      <c r="F129" s="113" t="s">
        <v>93</v>
      </c>
      <c r="G129" s="112" t="s">
        <v>7</v>
      </c>
      <c r="H129" s="112" t="s">
        <v>8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  <c r="J132" s="36"/>
      <c r="K132" s="36"/>
      <c r="L132" s="36"/>
      <c r="M132" s="36"/>
      <c r="N132" s="36">
        <f>P132-L132</f>
        <v>0</v>
      </c>
      <c r="O132" s="36"/>
      <c r="P132" s="36"/>
      <c r="Q132" s="36"/>
      <c r="R132" s="36">
        <v>100000</v>
      </c>
    </row>
    <row r="133" spans="1:18" s="7" customFormat="1" ht="12.75" hidden="1" customHeight="1" x14ac:dyDescent="0.2">
      <c r="A133" s="86" t="s">
        <v>97</v>
      </c>
      <c r="B133" s="111"/>
      <c r="C133" s="111"/>
      <c r="E133" s="112">
        <v>1</v>
      </c>
      <c r="F133" s="113" t="s">
        <v>93</v>
      </c>
      <c r="G133" s="112" t="s">
        <v>93</v>
      </c>
      <c r="H133" s="112" t="s">
        <v>8</v>
      </c>
      <c r="J133" s="36"/>
      <c r="K133" s="36"/>
      <c r="L133" s="36"/>
      <c r="M133" s="36"/>
      <c r="N133" s="36">
        <f>P133-L133</f>
        <v>0</v>
      </c>
      <c r="O133" s="36"/>
      <c r="P133" s="36"/>
      <c r="Q133" s="36"/>
      <c r="R133" s="36"/>
    </row>
    <row r="134" spans="1:18" s="7" customFormat="1" ht="12.75" hidden="1" customHeight="1" x14ac:dyDescent="0.2">
      <c r="A134" s="86" t="s">
        <v>98</v>
      </c>
      <c r="B134" s="116"/>
      <c r="C134" s="116"/>
      <c r="E134" s="112">
        <v>1</v>
      </c>
      <c r="F134" s="113" t="s">
        <v>93</v>
      </c>
      <c r="G134" s="112" t="s">
        <v>54</v>
      </c>
      <c r="H134" s="112" t="s">
        <v>15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  <c r="J135" s="36">
        <v>0</v>
      </c>
      <c r="K135" s="36"/>
      <c r="L135" s="36"/>
      <c r="M135" s="36"/>
      <c r="N135" s="36">
        <f>P135-L135</f>
        <v>440000</v>
      </c>
      <c r="O135" s="36"/>
      <c r="P135" s="36">
        <v>440000</v>
      </c>
      <c r="Q135" s="36"/>
      <c r="R135" s="36"/>
    </row>
    <row r="136" spans="1:1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27" customFormat="1" ht="15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M148" s="172"/>
      <c r="N148" s="21">
        <f>SUM(N129:N143)</f>
        <v>440000</v>
      </c>
      <c r="O148" s="172"/>
      <c r="P148" s="21">
        <f>SUM(P129:P143)</f>
        <v>440000</v>
      </c>
      <c r="Q148" s="172"/>
      <c r="R148" s="21">
        <f>SUM(R129:R143)</f>
        <v>100000</v>
      </c>
    </row>
    <row r="149" spans="1:18" s="7" customFormat="1" ht="6" customHeight="1" x14ac:dyDescent="0.2"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s="7" customFormat="1" ht="15.75" customHeight="1" thickBot="1" x14ac:dyDescent="0.25">
      <c r="A150" s="11" t="s">
        <v>110</v>
      </c>
      <c r="B150" s="28"/>
      <c r="C150" s="28"/>
      <c r="J150" s="29">
        <f>J42+J113+J124+J148</f>
        <v>7356140.2200000007</v>
      </c>
      <c r="K150" s="23"/>
      <c r="L150" s="29">
        <f>L42+L113+L124+L148</f>
        <v>3515989.4</v>
      </c>
      <c r="M150" s="36"/>
      <c r="N150" s="29">
        <f>N42+N113+N124+N148</f>
        <v>8208098.8599999994</v>
      </c>
      <c r="O150" s="36"/>
      <c r="P150" s="29">
        <f>P42+P113+P124+P148</f>
        <v>11724088.259999998</v>
      </c>
      <c r="Q150" s="36"/>
      <c r="R150" s="29">
        <f>R42+R113+R124+R148</f>
        <v>11673999.74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175"/>
      <c r="K151" s="175"/>
      <c r="L151" s="175"/>
      <c r="M151" s="175"/>
      <c r="N151" s="36"/>
      <c r="O151" s="36"/>
      <c r="P151" s="36"/>
      <c r="Q151" s="36"/>
      <c r="R151" s="36"/>
    </row>
    <row r="152" spans="1:18" s="7" customFormat="1" x14ac:dyDescent="0.2"/>
    <row r="153" spans="1:18" s="7" customFormat="1" x14ac:dyDescent="0.2"/>
    <row r="154" spans="1:18" x14ac:dyDescent="0.2">
      <c r="A154" s="75" t="s">
        <v>133</v>
      </c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168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68" t="s">
        <v>281</v>
      </c>
      <c r="M156" s="95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322" t="s">
        <v>294</v>
      </c>
      <c r="B158" s="322"/>
      <c r="C158" s="322"/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58" t="s">
        <v>137</v>
      </c>
    </row>
    <row r="159" spans="1:18" x14ac:dyDescent="0.2">
      <c r="A159" s="74" t="s">
        <v>345</v>
      </c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138" activePane="bottomRight" state="frozen"/>
      <selection pane="bottomRight" activeCell="A126" sqref="A126:XFD135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52" sqref="C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D112" activePane="bottomRight" state="frozen"/>
      <selection pane="bottomRight" activeCell="R40" sqref="R40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96" activePane="bottomRight" state="frozen"/>
      <selection pane="bottomRight" activeCell="R152" sqref="R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3" activePane="bottomRight" state="frozen"/>
      <selection pane="bottomRight" activeCell="P96" sqref="P96"/>
      <rowBreaks count="1" manualBreakCount="1">
        <brk id="114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3">
    <mergeCell ref="J154:L154"/>
    <mergeCell ref="J158:L158"/>
    <mergeCell ref="J159:L159"/>
    <mergeCell ref="A13:C13"/>
    <mergeCell ref="E13:H13"/>
    <mergeCell ref="A113:C113"/>
    <mergeCell ref="A158:C158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5"/>
  <sheetViews>
    <sheetView view="pageBreakPreview" zoomScaleSheetLayoutView="100" workbookViewId="0">
      <pane xSplit="1" ySplit="14" topLeftCell="B69" activePane="bottomRight" state="frozen"/>
      <selection pane="topRight" activeCell="B1" sqref="B1"/>
      <selection pane="bottomLeft" activeCell="A15" sqref="A15"/>
      <selection pane="bottomRight" activeCell="L81" sqref="L8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43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43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30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36">
        <v>26185403.309999999</v>
      </c>
      <c r="K16" s="13"/>
      <c r="L16" s="36">
        <v>11952456.52</v>
      </c>
      <c r="M16" s="36"/>
      <c r="N16" s="36">
        <f>P16-L16</f>
        <v>18811908.18</v>
      </c>
      <c r="O16" s="36"/>
      <c r="P16" s="36">
        <v>30764364.699999999</v>
      </c>
      <c r="Q16" s="36"/>
      <c r="R16" s="185">
        <v>31991494.920000002</v>
      </c>
    </row>
    <row r="17" spans="1:18" s="7" customFormat="1" ht="12.75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6">
        <v>94039173.590000004</v>
      </c>
      <c r="K17" s="39"/>
      <c r="L17" s="36">
        <v>43824070.850000001</v>
      </c>
      <c r="M17" s="36"/>
      <c r="N17" s="36">
        <f t="shared" ref="N17:N34" si="0">P17-L17</f>
        <v>119081398.41</v>
      </c>
      <c r="O17" s="36"/>
      <c r="P17" s="36">
        <v>162905469.25999999</v>
      </c>
      <c r="Q17" s="36"/>
      <c r="R17" s="185">
        <v>125952108</v>
      </c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36">
        <v>16430647.119999999</v>
      </c>
      <c r="K18" s="13"/>
      <c r="L18" s="36">
        <v>7586931.9199999999</v>
      </c>
      <c r="M18" s="36"/>
      <c r="N18" s="36">
        <f t="shared" si="0"/>
        <v>18741068.079999998</v>
      </c>
      <c r="O18" s="36"/>
      <c r="P18" s="36">
        <v>26328000</v>
      </c>
      <c r="Q18" s="36"/>
      <c r="R18" s="185">
        <v>20184000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36">
        <v>199500</v>
      </c>
      <c r="K19" s="13"/>
      <c r="L19" s="36">
        <v>33000</v>
      </c>
      <c r="M19" s="36"/>
      <c r="N19" s="36">
        <f t="shared" si="0"/>
        <v>99000</v>
      </c>
      <c r="O19" s="36"/>
      <c r="P19" s="36">
        <v>132000</v>
      </c>
      <c r="Q19" s="36"/>
      <c r="R19" s="185">
        <v>132000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36">
        <v>67500</v>
      </c>
      <c r="K20" s="13"/>
      <c r="L20" s="36"/>
      <c r="M20" s="36"/>
      <c r="N20" s="36"/>
      <c r="O20" s="36"/>
      <c r="P20" s="36"/>
      <c r="Q20" s="36"/>
      <c r="R20" s="36"/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36">
        <v>354000</v>
      </c>
      <c r="K21" s="13"/>
      <c r="L21" s="36">
        <v>258000</v>
      </c>
      <c r="M21" s="36"/>
      <c r="N21" s="36">
        <f t="shared" si="0"/>
        <v>198000</v>
      </c>
      <c r="O21" s="36"/>
      <c r="P21" s="36">
        <v>456000</v>
      </c>
      <c r="Q21" s="36"/>
      <c r="R21" s="185">
        <v>456000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36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customHeight="1" x14ac:dyDescent="0.2">
      <c r="A23" s="86" t="s">
        <v>18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19</v>
      </c>
      <c r="J23" s="36"/>
      <c r="K23" s="13"/>
      <c r="L23" s="36"/>
      <c r="M23" s="36"/>
      <c r="N23" s="36">
        <f t="shared" si="0"/>
        <v>86625</v>
      </c>
      <c r="O23" s="36"/>
      <c r="P23" s="36">
        <v>86625</v>
      </c>
      <c r="Q23" s="36"/>
      <c r="R23" s="185">
        <v>86625</v>
      </c>
    </row>
    <row r="24" spans="1:18" s="7" customFormat="1" ht="12.75" customHeight="1" x14ac:dyDescent="0.2">
      <c r="A24" s="86" t="s">
        <v>22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>
        <v>110</v>
      </c>
      <c r="J24" s="36"/>
      <c r="K24" s="13"/>
      <c r="L24" s="36">
        <v>687500</v>
      </c>
      <c r="M24" s="36"/>
      <c r="N24" s="36">
        <f t="shared" ref="N24" si="1">P24-L24</f>
        <v>488500</v>
      </c>
      <c r="O24" s="36"/>
      <c r="P24" s="36">
        <v>1176000</v>
      </c>
      <c r="Q24" s="36"/>
      <c r="R24" s="36"/>
    </row>
    <row r="25" spans="1:18" s="7" customFormat="1" ht="12.75" customHeight="1" x14ac:dyDescent="0.2">
      <c r="A25" s="86" t="s">
        <v>23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24</v>
      </c>
      <c r="J25" s="36">
        <v>1306051.97</v>
      </c>
      <c r="K25" s="36"/>
      <c r="L25" s="36">
        <v>300472.28999999998</v>
      </c>
      <c r="M25" s="36"/>
      <c r="N25" s="36">
        <f t="shared" si="0"/>
        <v>2353693.09</v>
      </c>
      <c r="O25" s="36"/>
      <c r="P25" s="36">
        <v>2654165.38</v>
      </c>
      <c r="Q25" s="36"/>
      <c r="R25" s="36">
        <v>5000000</v>
      </c>
    </row>
    <row r="26" spans="1:18" s="7" customFormat="1" ht="12.75" customHeight="1" x14ac:dyDescent="0.2">
      <c r="A26" s="86" t="s">
        <v>27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28</v>
      </c>
      <c r="J26" s="36">
        <v>9684630.6999999993</v>
      </c>
      <c r="K26" s="36"/>
      <c r="L26" s="36"/>
      <c r="M26" s="36"/>
      <c r="N26" s="36">
        <f>P26-L26</f>
        <v>16510001</v>
      </c>
      <c r="O26" s="36"/>
      <c r="P26" s="36">
        <v>16510001</v>
      </c>
      <c r="Q26" s="36"/>
      <c r="R26" s="185">
        <v>13165732</v>
      </c>
    </row>
    <row r="27" spans="1:18" s="7" customFormat="1" ht="12.75" customHeight="1" x14ac:dyDescent="0.2">
      <c r="A27" s="86" t="s">
        <v>25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26</v>
      </c>
      <c r="J27" s="36">
        <v>3340750</v>
      </c>
      <c r="K27" s="36"/>
      <c r="L27" s="36"/>
      <c r="M27" s="36"/>
      <c r="N27" s="36">
        <f t="shared" si="0"/>
        <v>5485000</v>
      </c>
      <c r="O27" s="36"/>
      <c r="P27" s="36">
        <v>5485000</v>
      </c>
      <c r="Q27" s="36"/>
      <c r="R27" s="185">
        <v>4205000</v>
      </c>
    </row>
    <row r="28" spans="1:18" s="7" customFormat="1" ht="12.75" customHeight="1" x14ac:dyDescent="0.2">
      <c r="A28" s="86" t="s">
        <v>140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49</v>
      </c>
      <c r="J28" s="36">
        <v>9643396</v>
      </c>
      <c r="K28" s="13"/>
      <c r="L28" s="36">
        <v>9438952</v>
      </c>
      <c r="M28" s="36"/>
      <c r="N28" s="36">
        <f>P28-L28</f>
        <v>6339881.3300000001</v>
      </c>
      <c r="O28" s="36"/>
      <c r="P28" s="36">
        <v>15778833.33</v>
      </c>
      <c r="Q28" s="36"/>
      <c r="R28" s="185">
        <v>13165732</v>
      </c>
    </row>
    <row r="29" spans="1:18" s="7" customFormat="1" ht="12.75" customHeight="1" x14ac:dyDescent="0.2">
      <c r="A29" s="86" t="s">
        <v>263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8</v>
      </c>
      <c r="J29" s="36">
        <v>14094188.800000001</v>
      </c>
      <c r="K29" s="36"/>
      <c r="L29" s="36">
        <v>7008023.5199999996</v>
      </c>
      <c r="M29" s="36"/>
      <c r="N29" s="36">
        <f t="shared" si="0"/>
        <v>16259663.52</v>
      </c>
      <c r="O29" s="36"/>
      <c r="P29" s="36">
        <v>23267687.039999999</v>
      </c>
      <c r="Q29" s="36"/>
      <c r="R29" s="185">
        <v>18958654.079999998</v>
      </c>
    </row>
    <row r="30" spans="1:18" s="7" customFormat="1" ht="12.75" customHeight="1" x14ac:dyDescent="0.2">
      <c r="A30" s="86" t="s">
        <v>30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10</v>
      </c>
      <c r="J30" s="36">
        <v>817700</v>
      </c>
      <c r="K30" s="36"/>
      <c r="L30" s="36">
        <v>409000</v>
      </c>
      <c r="M30" s="36"/>
      <c r="N30" s="36">
        <f t="shared" si="0"/>
        <v>907400</v>
      </c>
      <c r="O30" s="36"/>
      <c r="P30" s="36">
        <v>1316400</v>
      </c>
      <c r="Q30" s="36"/>
      <c r="R30" s="185">
        <v>1009200</v>
      </c>
    </row>
    <row r="31" spans="1:18" s="7" customFormat="1" ht="12.75" customHeight="1" x14ac:dyDescent="0.2">
      <c r="A31" s="86" t="s">
        <v>31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15</v>
      </c>
      <c r="J31" s="36">
        <v>1598780.63</v>
      </c>
      <c r="K31" s="36"/>
      <c r="L31" s="36">
        <v>888399.39</v>
      </c>
      <c r="M31" s="36"/>
      <c r="N31" s="36">
        <f t="shared" si="0"/>
        <v>2064082.4699999997</v>
      </c>
      <c r="O31" s="36"/>
      <c r="P31" s="36">
        <v>2952481.86</v>
      </c>
      <c r="Q31" s="36"/>
      <c r="R31" s="185">
        <v>2736491.73</v>
      </c>
    </row>
    <row r="32" spans="1:18" s="7" customFormat="1" ht="12.75" customHeight="1" x14ac:dyDescent="0.2">
      <c r="A32" s="86" t="s">
        <v>32</v>
      </c>
      <c r="B32" s="111"/>
      <c r="C32" s="111"/>
      <c r="D32" s="112"/>
      <c r="E32" s="112">
        <v>5</v>
      </c>
      <c r="F32" s="113" t="s">
        <v>7</v>
      </c>
      <c r="G32" s="112" t="s">
        <v>29</v>
      </c>
      <c r="H32" s="112" t="s">
        <v>17</v>
      </c>
      <c r="J32" s="36">
        <v>815877.98</v>
      </c>
      <c r="K32" s="36"/>
      <c r="L32" s="36">
        <v>408304.21</v>
      </c>
      <c r="M32" s="36"/>
      <c r="N32" s="36">
        <f t="shared" si="0"/>
        <v>908095.79</v>
      </c>
      <c r="O32" s="36"/>
      <c r="P32" s="36">
        <v>1316400</v>
      </c>
      <c r="Q32" s="36"/>
      <c r="R32" s="185">
        <v>1009200</v>
      </c>
    </row>
    <row r="33" spans="1:18" s="7" customFormat="1" ht="12.75" customHeight="1" x14ac:dyDescent="0.2">
      <c r="A33" s="86" t="s">
        <v>33</v>
      </c>
      <c r="B33" s="111"/>
      <c r="C33" s="111"/>
      <c r="D33" s="112"/>
      <c r="E33" s="112">
        <v>5</v>
      </c>
      <c r="F33" s="113" t="s">
        <v>7</v>
      </c>
      <c r="G33" s="112" t="s">
        <v>34</v>
      </c>
      <c r="H33" s="112" t="s">
        <v>15</v>
      </c>
      <c r="J33" s="36">
        <v>1615742.69</v>
      </c>
      <c r="K33" s="36"/>
      <c r="L33" s="36">
        <v>2149713.77</v>
      </c>
      <c r="M33" s="36"/>
      <c r="N33" s="36">
        <f t="shared" si="0"/>
        <v>1201524.8199999998</v>
      </c>
      <c r="O33" s="36"/>
      <c r="P33" s="36">
        <v>3351238.59</v>
      </c>
      <c r="Q33" s="36"/>
      <c r="R33" s="185">
        <v>255214.92</v>
      </c>
    </row>
    <row r="34" spans="1:18" s="7" customFormat="1" ht="12.75" customHeight="1" x14ac:dyDescent="0.2">
      <c r="A34" s="86" t="s">
        <v>35</v>
      </c>
      <c r="B34" s="111"/>
      <c r="C34" s="111"/>
      <c r="D34" s="112"/>
      <c r="E34" s="112">
        <v>5</v>
      </c>
      <c r="F34" s="113" t="s">
        <v>7</v>
      </c>
      <c r="G34" s="112" t="s">
        <v>34</v>
      </c>
      <c r="H34" s="112" t="s">
        <v>49</v>
      </c>
      <c r="J34" s="36">
        <v>3744692.56</v>
      </c>
      <c r="K34" s="36"/>
      <c r="L34" s="36"/>
      <c r="M34" s="36"/>
      <c r="N34" s="36">
        <f t="shared" si="0"/>
        <v>5770000</v>
      </c>
      <c r="O34" s="36"/>
      <c r="P34" s="36">
        <v>5770000</v>
      </c>
      <c r="Q34" s="36"/>
      <c r="R34" s="186">
        <v>4205000</v>
      </c>
    </row>
    <row r="35" spans="1:18" s="7" customFormat="1" ht="18.95" customHeight="1" x14ac:dyDescent="0.2">
      <c r="A35" s="102" t="s">
        <v>36</v>
      </c>
      <c r="B35" s="26"/>
      <c r="C35" s="26"/>
      <c r="J35" s="161">
        <f>SUM(J16:J34)</f>
        <v>183938035.34999999</v>
      </c>
      <c r="K35" s="162"/>
      <c r="L35" s="161">
        <f>SUM(L16:L34)</f>
        <v>84944824.469999999</v>
      </c>
      <c r="M35" s="36"/>
      <c r="N35" s="161">
        <f>SUM(N16:N34)</f>
        <v>215305841.69000003</v>
      </c>
      <c r="O35" s="36"/>
      <c r="P35" s="161">
        <f>SUM(P16:P34)</f>
        <v>300250666.15999997</v>
      </c>
      <c r="Q35" s="36"/>
      <c r="R35" s="161">
        <f>SUM(R16:R34)</f>
        <v>242512452.64999998</v>
      </c>
    </row>
    <row r="36" spans="1:18" s="7" customFormat="1" ht="6" customHeight="1" x14ac:dyDescent="0.2">
      <c r="A36" s="17"/>
      <c r="B36" s="17"/>
      <c r="C36" s="17"/>
      <c r="J36" s="162"/>
      <c r="K36" s="162"/>
      <c r="L36" s="36"/>
      <c r="M36" s="36"/>
      <c r="N36" s="36"/>
      <c r="O36" s="36"/>
      <c r="P36" s="36"/>
      <c r="Q36" s="36"/>
      <c r="R36" s="36"/>
    </row>
    <row r="37" spans="1:18" s="7" customFormat="1" ht="12.75" customHeight="1" x14ac:dyDescent="0.2">
      <c r="A37" s="68" t="s">
        <v>188</v>
      </c>
      <c r="B37" s="12"/>
      <c r="C37" s="12"/>
      <c r="J37" s="36"/>
      <c r="K37" s="36"/>
      <c r="L37" s="36"/>
      <c r="M37" s="36"/>
      <c r="N37" s="36"/>
      <c r="O37" s="36"/>
      <c r="P37" s="36"/>
      <c r="Q37" s="36"/>
      <c r="R37" s="36"/>
    </row>
    <row r="38" spans="1:18" s="7" customFormat="1" ht="12.75" customHeight="1" x14ac:dyDescent="0.2">
      <c r="A38" s="86" t="s">
        <v>37</v>
      </c>
      <c r="B38" s="111"/>
      <c r="C38" s="111"/>
      <c r="D38" s="112"/>
      <c r="E38" s="112">
        <v>5</v>
      </c>
      <c r="F38" s="113" t="s">
        <v>12</v>
      </c>
      <c r="G38" s="112" t="s">
        <v>7</v>
      </c>
      <c r="H38" s="112" t="s">
        <v>8</v>
      </c>
      <c r="J38" s="36">
        <v>57658</v>
      </c>
      <c r="K38" s="36"/>
      <c r="L38" s="36"/>
      <c r="M38" s="36"/>
      <c r="N38" s="36">
        <f t="shared" ref="N38:N69" si="2">P38-L38</f>
        <v>930200</v>
      </c>
      <c r="O38" s="36"/>
      <c r="P38" s="36">
        <v>930200</v>
      </c>
      <c r="Q38" s="36"/>
      <c r="R38" s="187">
        <v>930200</v>
      </c>
    </row>
    <row r="39" spans="1:18" s="7" customFormat="1" ht="12.75" customHeight="1" x14ac:dyDescent="0.2">
      <c r="A39" s="86" t="s">
        <v>38</v>
      </c>
      <c r="B39" s="111"/>
      <c r="C39" s="111"/>
      <c r="E39" s="112">
        <v>5</v>
      </c>
      <c r="F39" s="113" t="s">
        <v>12</v>
      </c>
      <c r="G39" s="112" t="s">
        <v>7</v>
      </c>
      <c r="H39" s="112" t="s">
        <v>10</v>
      </c>
      <c r="J39" s="36"/>
      <c r="K39" s="36"/>
      <c r="L39" s="36"/>
      <c r="M39" s="36"/>
      <c r="N39" s="36">
        <f t="shared" si="2"/>
        <v>1000000</v>
      </c>
      <c r="O39" s="36"/>
      <c r="P39" s="36">
        <v>1000000</v>
      </c>
      <c r="Q39" s="36"/>
      <c r="R39" s="185">
        <v>1000000</v>
      </c>
    </row>
    <row r="40" spans="1:18" s="7" customFormat="1" ht="12.75" customHeight="1" x14ac:dyDescent="0.2">
      <c r="A40" s="86" t="s">
        <v>39</v>
      </c>
      <c r="B40" s="111"/>
      <c r="C40" s="111"/>
      <c r="E40" s="112">
        <v>5</v>
      </c>
      <c r="F40" s="113" t="s">
        <v>12</v>
      </c>
      <c r="G40" s="112" t="s">
        <v>12</v>
      </c>
      <c r="H40" s="112" t="s">
        <v>8</v>
      </c>
      <c r="J40" s="36">
        <v>31422</v>
      </c>
      <c r="K40" s="36"/>
      <c r="L40" s="36"/>
      <c r="M40" s="36"/>
      <c r="N40" s="36">
        <f t="shared" si="2"/>
        <v>2900000</v>
      </c>
      <c r="O40" s="36"/>
      <c r="P40" s="36">
        <v>2900000</v>
      </c>
      <c r="Q40" s="36"/>
      <c r="R40" s="187">
        <v>2900000</v>
      </c>
    </row>
    <row r="41" spans="1:18" s="7" customFormat="1" ht="12.75" customHeight="1" x14ac:dyDescent="0.2">
      <c r="A41" s="86" t="s">
        <v>142</v>
      </c>
      <c r="B41" s="111"/>
      <c r="C41" s="111"/>
      <c r="D41" s="112"/>
      <c r="E41" s="112">
        <v>5</v>
      </c>
      <c r="F41" s="113" t="s">
        <v>12</v>
      </c>
      <c r="G41" s="112" t="s">
        <v>12</v>
      </c>
      <c r="H41" s="112" t="s">
        <v>10</v>
      </c>
      <c r="J41" s="36">
        <v>6138500</v>
      </c>
      <c r="K41" s="36"/>
      <c r="L41" s="36"/>
      <c r="M41" s="36"/>
      <c r="N41" s="36">
        <f t="shared" si="2"/>
        <v>26000000</v>
      </c>
      <c r="O41" s="36"/>
      <c r="P41" s="36">
        <v>26000000</v>
      </c>
      <c r="Q41" s="36"/>
      <c r="R41" s="187">
        <v>33000000</v>
      </c>
    </row>
    <row r="42" spans="1:18" s="7" customFormat="1" ht="12.75" customHeight="1" x14ac:dyDescent="0.2">
      <c r="A42" s="86" t="s">
        <v>40</v>
      </c>
      <c r="B42" s="111"/>
      <c r="C42" s="111"/>
      <c r="D42" s="112"/>
      <c r="E42" s="112">
        <v>5</v>
      </c>
      <c r="F42" s="113" t="s">
        <v>12</v>
      </c>
      <c r="G42" s="112" t="s">
        <v>29</v>
      </c>
      <c r="H42" s="112" t="s">
        <v>8</v>
      </c>
      <c r="J42" s="36">
        <v>1091365.75</v>
      </c>
      <c r="K42" s="36"/>
      <c r="L42" s="36">
        <v>309296</v>
      </c>
      <c r="M42" s="36"/>
      <c r="N42" s="36">
        <f t="shared" si="2"/>
        <v>3590704</v>
      </c>
      <c r="O42" s="36"/>
      <c r="P42" s="36">
        <v>3900000</v>
      </c>
      <c r="Q42" s="36"/>
      <c r="R42" s="187">
        <v>2400000</v>
      </c>
    </row>
    <row r="43" spans="1:18" s="7" customFormat="1" ht="12.75" customHeight="1" x14ac:dyDescent="0.2">
      <c r="A43" s="86" t="s">
        <v>88</v>
      </c>
      <c r="B43" s="111"/>
      <c r="C43" s="111"/>
      <c r="E43" s="112">
        <v>5</v>
      </c>
      <c r="F43" s="113" t="s">
        <v>12</v>
      </c>
      <c r="G43" s="112" t="s">
        <v>29</v>
      </c>
      <c r="H43" s="112" t="s">
        <v>60</v>
      </c>
      <c r="J43" s="36"/>
      <c r="K43" s="36"/>
      <c r="L43" s="36"/>
      <c r="M43" s="36"/>
      <c r="N43" s="36">
        <f t="shared" si="2"/>
        <v>4000000</v>
      </c>
      <c r="O43" s="36"/>
      <c r="P43" s="36">
        <v>4000000</v>
      </c>
      <c r="Q43" s="36"/>
      <c r="R43" s="187">
        <v>4000000</v>
      </c>
    </row>
    <row r="44" spans="1:18" s="7" customFormat="1" ht="12.75" customHeight="1" x14ac:dyDescent="0.2">
      <c r="A44" s="86" t="s">
        <v>44</v>
      </c>
      <c r="B44" s="111"/>
      <c r="C44" s="111"/>
      <c r="D44" s="112"/>
      <c r="E44" s="112">
        <v>5</v>
      </c>
      <c r="F44" s="113" t="s">
        <v>12</v>
      </c>
      <c r="G44" s="112" t="s">
        <v>29</v>
      </c>
      <c r="H44" s="112" t="s">
        <v>45</v>
      </c>
      <c r="J44" s="36">
        <v>4524432.5599999996</v>
      </c>
      <c r="K44" s="39"/>
      <c r="L44" s="36">
        <v>1143078.1599999999</v>
      </c>
      <c r="M44" s="36"/>
      <c r="N44" s="36">
        <f t="shared" si="2"/>
        <v>9078921.8399999999</v>
      </c>
      <c r="O44" s="36"/>
      <c r="P44" s="36">
        <v>10222000</v>
      </c>
      <c r="Q44" s="36"/>
      <c r="R44" s="187">
        <v>9752000</v>
      </c>
    </row>
    <row r="45" spans="1:18" s="7" customFormat="1" ht="12.75" customHeight="1" x14ac:dyDescent="0.2">
      <c r="A45" s="86" t="s">
        <v>46</v>
      </c>
      <c r="B45" s="111"/>
      <c r="C45" s="111"/>
      <c r="D45" s="112"/>
      <c r="E45" s="112">
        <v>5</v>
      </c>
      <c r="F45" s="113" t="s">
        <v>12</v>
      </c>
      <c r="G45" s="112" t="s">
        <v>29</v>
      </c>
      <c r="H45" s="112" t="s">
        <v>47</v>
      </c>
      <c r="J45" s="36"/>
      <c r="K45" s="36"/>
      <c r="L45" s="36"/>
      <c r="M45" s="36"/>
      <c r="N45" s="36">
        <f t="shared" si="2"/>
        <v>4000000</v>
      </c>
      <c r="O45" s="36"/>
      <c r="P45" s="36">
        <v>4000000</v>
      </c>
      <c r="Q45" s="36"/>
      <c r="R45" s="187">
        <v>4000000</v>
      </c>
    </row>
    <row r="46" spans="1:18" s="7" customFormat="1" ht="12.75" customHeight="1" x14ac:dyDescent="0.2">
      <c r="A46" s="86" t="s">
        <v>48</v>
      </c>
      <c r="B46" s="111"/>
      <c r="C46" s="111"/>
      <c r="E46" s="112">
        <v>5</v>
      </c>
      <c r="F46" s="113" t="s">
        <v>12</v>
      </c>
      <c r="G46" s="112" t="s">
        <v>29</v>
      </c>
      <c r="H46" s="114" t="s">
        <v>49</v>
      </c>
      <c r="J46" s="36">
        <v>3510883</v>
      </c>
      <c r="K46" s="36"/>
      <c r="L46" s="36"/>
      <c r="M46" s="36"/>
      <c r="N46" s="36">
        <f t="shared" si="2"/>
        <v>9931500</v>
      </c>
      <c r="O46" s="36"/>
      <c r="P46" s="36">
        <v>9931500</v>
      </c>
      <c r="Q46" s="36"/>
      <c r="R46" s="187">
        <v>11781500</v>
      </c>
    </row>
    <row r="47" spans="1:18" s="7" customFormat="1" ht="12.75" customHeight="1" x14ac:dyDescent="0.2">
      <c r="A47" s="86" t="s">
        <v>53</v>
      </c>
      <c r="B47" s="111"/>
      <c r="C47" s="111"/>
      <c r="E47" s="112">
        <v>5</v>
      </c>
      <c r="F47" s="113" t="s">
        <v>12</v>
      </c>
      <c r="G47" s="112" t="s">
        <v>54</v>
      </c>
      <c r="H47" s="112" t="s">
        <v>8</v>
      </c>
      <c r="J47" s="36"/>
      <c r="K47" s="36"/>
      <c r="L47" s="36"/>
      <c r="M47" s="36"/>
      <c r="N47" s="36">
        <f t="shared" si="2"/>
        <v>60800</v>
      </c>
      <c r="O47" s="36"/>
      <c r="P47" s="36">
        <v>60800</v>
      </c>
      <c r="Q47" s="36"/>
      <c r="R47" s="187">
        <v>62800</v>
      </c>
    </row>
    <row r="48" spans="1:18" s="7" customFormat="1" ht="12.75" customHeight="1" x14ac:dyDescent="0.2">
      <c r="A48" s="86" t="s">
        <v>55</v>
      </c>
      <c r="B48" s="111"/>
      <c r="C48" s="111"/>
      <c r="E48" s="112">
        <v>5</v>
      </c>
      <c r="F48" s="113" t="s">
        <v>12</v>
      </c>
      <c r="G48" s="112" t="s">
        <v>54</v>
      </c>
      <c r="H48" s="112" t="s">
        <v>10</v>
      </c>
      <c r="J48" s="36">
        <v>117528.63</v>
      </c>
      <c r="K48" s="36"/>
      <c r="L48" s="36">
        <v>41559.49</v>
      </c>
      <c r="M48" s="36"/>
      <c r="N48" s="36">
        <f t="shared" si="2"/>
        <v>378440.51</v>
      </c>
      <c r="O48" s="36"/>
      <c r="P48" s="36">
        <v>420000</v>
      </c>
      <c r="Q48" s="36"/>
      <c r="R48" s="187">
        <v>466752</v>
      </c>
    </row>
    <row r="49" spans="1:18" s="7" customFormat="1" ht="12.75" customHeight="1" x14ac:dyDescent="0.2">
      <c r="A49" s="86" t="s">
        <v>56</v>
      </c>
      <c r="B49" s="111"/>
      <c r="C49" s="111"/>
      <c r="E49" s="112">
        <v>5</v>
      </c>
      <c r="F49" s="113" t="s">
        <v>12</v>
      </c>
      <c r="G49" s="112" t="s">
        <v>54</v>
      </c>
      <c r="H49" s="112" t="s">
        <v>15</v>
      </c>
      <c r="J49" s="36">
        <v>15667</v>
      </c>
      <c r="K49" s="36"/>
      <c r="L49" s="36"/>
      <c r="M49" s="36"/>
      <c r="N49" s="36">
        <f t="shared" si="2"/>
        <v>100000</v>
      </c>
      <c r="O49" s="36"/>
      <c r="P49" s="36">
        <v>100000</v>
      </c>
      <c r="Q49" s="36"/>
      <c r="R49" s="187">
        <v>100000</v>
      </c>
    </row>
    <row r="50" spans="1:18" s="7" customFormat="1" ht="12.75" customHeight="1" x14ac:dyDescent="0.2">
      <c r="A50" s="86" t="s">
        <v>57</v>
      </c>
      <c r="B50" s="111"/>
      <c r="C50" s="111"/>
      <c r="E50" s="112">
        <v>5</v>
      </c>
      <c r="F50" s="113" t="s">
        <v>12</v>
      </c>
      <c r="G50" s="112" t="s">
        <v>54</v>
      </c>
      <c r="H50" s="112" t="s">
        <v>17</v>
      </c>
      <c r="J50" s="36"/>
      <c r="K50" s="36"/>
      <c r="L50" s="36"/>
      <c r="M50" s="36"/>
      <c r="N50" s="36">
        <f t="shared" si="2"/>
        <v>50000</v>
      </c>
      <c r="O50" s="36"/>
      <c r="P50" s="36">
        <v>50000</v>
      </c>
      <c r="Q50" s="36"/>
      <c r="R50" s="36">
        <v>50000</v>
      </c>
    </row>
    <row r="51" spans="1:18" s="7" customFormat="1" ht="12.75" customHeight="1" x14ac:dyDescent="0.2">
      <c r="A51" s="86" t="s">
        <v>66</v>
      </c>
      <c r="B51" s="111"/>
      <c r="C51" s="111"/>
      <c r="E51" s="112">
        <v>5</v>
      </c>
      <c r="F51" s="113" t="s">
        <v>12</v>
      </c>
      <c r="G51" s="112" t="s">
        <v>67</v>
      </c>
      <c r="H51" s="112" t="s">
        <v>8</v>
      </c>
      <c r="J51" s="36"/>
      <c r="K51" s="36"/>
      <c r="L51" s="36"/>
      <c r="M51" s="36"/>
      <c r="N51" s="36">
        <f t="shared" si="2"/>
        <v>1000000</v>
      </c>
      <c r="O51" s="36"/>
      <c r="P51" s="36">
        <v>1000000</v>
      </c>
      <c r="Q51" s="36"/>
      <c r="R51" s="36">
        <v>1000000</v>
      </c>
    </row>
    <row r="52" spans="1:18" s="7" customFormat="1" ht="12.75" customHeight="1" x14ac:dyDescent="0.2">
      <c r="A52" s="86" t="s">
        <v>68</v>
      </c>
      <c r="B52" s="111"/>
      <c r="C52" s="111"/>
      <c r="E52" s="112">
        <v>5</v>
      </c>
      <c r="F52" s="113" t="s">
        <v>12</v>
      </c>
      <c r="G52" s="112" t="s">
        <v>67</v>
      </c>
      <c r="H52" s="112" t="s">
        <v>10</v>
      </c>
      <c r="J52" s="36">
        <v>10587500</v>
      </c>
      <c r="K52" s="36"/>
      <c r="L52" s="36">
        <v>300000</v>
      </c>
      <c r="M52" s="36"/>
      <c r="N52" s="36">
        <f>P52-L52</f>
        <v>26200000</v>
      </c>
      <c r="O52" s="36"/>
      <c r="P52" s="36">
        <v>26500000</v>
      </c>
      <c r="Q52" s="36"/>
      <c r="R52" s="36">
        <v>26500000</v>
      </c>
    </row>
    <row r="53" spans="1:18" s="7" customFormat="1" ht="12.75" customHeight="1" x14ac:dyDescent="0.2">
      <c r="A53" s="86" t="s">
        <v>83</v>
      </c>
      <c r="B53" s="111"/>
      <c r="C53" s="111"/>
      <c r="E53" s="112">
        <v>5</v>
      </c>
      <c r="F53" s="113" t="s">
        <v>12</v>
      </c>
      <c r="G53" s="112" t="s">
        <v>84</v>
      </c>
      <c r="H53" s="113" t="s">
        <v>8</v>
      </c>
      <c r="J53" s="36">
        <v>77000000</v>
      </c>
      <c r="K53" s="36"/>
      <c r="L53" s="36">
        <v>33000000</v>
      </c>
      <c r="M53" s="36"/>
      <c r="N53" s="36">
        <f>P53-L53</f>
        <v>45000000</v>
      </c>
      <c r="O53" s="36"/>
      <c r="P53" s="36">
        <v>78000000</v>
      </c>
      <c r="Q53" s="36"/>
      <c r="R53" s="187">
        <v>80000000</v>
      </c>
    </row>
    <row r="54" spans="1:18" s="7" customFormat="1" ht="12.75" customHeight="1" x14ac:dyDescent="0.2">
      <c r="A54" s="86" t="s">
        <v>86</v>
      </c>
      <c r="B54" s="111"/>
      <c r="C54" s="111"/>
      <c r="E54" s="112">
        <v>5</v>
      </c>
      <c r="F54" s="113" t="s">
        <v>12</v>
      </c>
      <c r="G54" s="112" t="s">
        <v>84</v>
      </c>
      <c r="H54" s="113" t="s">
        <v>15</v>
      </c>
      <c r="J54" s="36">
        <v>5686074.6399999997</v>
      </c>
      <c r="K54" s="36"/>
      <c r="L54" s="36"/>
      <c r="M54" s="36"/>
      <c r="N54" s="36">
        <f>P54-L54</f>
        <v>6715883.3600000003</v>
      </c>
      <c r="O54" s="36"/>
      <c r="P54" s="36">
        <v>6715883.3600000003</v>
      </c>
      <c r="Q54" s="36"/>
      <c r="R54" s="187">
        <v>7210690</v>
      </c>
    </row>
    <row r="55" spans="1:18" s="7" customFormat="1" ht="12.75" customHeight="1" x14ac:dyDescent="0.2">
      <c r="A55" s="86" t="s">
        <v>69</v>
      </c>
      <c r="B55" s="111"/>
      <c r="C55" s="111"/>
      <c r="E55" s="112">
        <v>5</v>
      </c>
      <c r="F55" s="113" t="s">
        <v>12</v>
      </c>
      <c r="G55" s="112" t="s">
        <v>70</v>
      </c>
      <c r="H55" s="112" t="s">
        <v>15</v>
      </c>
      <c r="J55" s="36">
        <v>1223624.06</v>
      </c>
      <c r="K55" s="36"/>
      <c r="L55" s="36">
        <v>318123</v>
      </c>
      <c r="M55" s="36"/>
      <c r="N55" s="36">
        <f t="shared" si="2"/>
        <v>2008533</v>
      </c>
      <c r="O55" s="36"/>
      <c r="P55" s="36">
        <v>2326656</v>
      </c>
      <c r="Q55" s="36"/>
      <c r="R55" s="187">
        <v>1517688</v>
      </c>
    </row>
    <row r="56" spans="1:18" s="7" customFormat="1" ht="12.75" customHeight="1" x14ac:dyDescent="0.2">
      <c r="A56" s="86" t="s">
        <v>72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49</v>
      </c>
      <c r="J56" s="36">
        <v>5159000</v>
      </c>
      <c r="K56" s="36"/>
      <c r="L56" s="36">
        <v>60000</v>
      </c>
      <c r="M56" s="36"/>
      <c r="N56" s="36">
        <f t="shared" si="2"/>
        <v>6027000</v>
      </c>
      <c r="O56" s="36"/>
      <c r="P56" s="36">
        <v>6087000</v>
      </c>
      <c r="Q56" s="36"/>
      <c r="R56" s="187">
        <v>6024000</v>
      </c>
    </row>
    <row r="57" spans="1:18" s="7" customFormat="1" ht="12.75" customHeight="1" x14ac:dyDescent="0.2">
      <c r="A57" s="86" t="s">
        <v>73</v>
      </c>
      <c r="B57" s="111"/>
      <c r="C57" s="111"/>
      <c r="E57" s="112">
        <v>5</v>
      </c>
      <c r="F57" s="113" t="s">
        <v>12</v>
      </c>
      <c r="G57" s="112" t="s">
        <v>74</v>
      </c>
      <c r="H57" s="112" t="s">
        <v>64</v>
      </c>
      <c r="J57" s="36">
        <v>67317</v>
      </c>
      <c r="K57" s="36"/>
      <c r="L57" s="36"/>
      <c r="M57" s="36"/>
      <c r="N57" s="36">
        <f t="shared" si="2"/>
        <v>1000000</v>
      </c>
      <c r="O57" s="36"/>
      <c r="P57" s="36">
        <v>1000000</v>
      </c>
      <c r="Q57" s="36"/>
      <c r="R57" s="187">
        <v>1000000</v>
      </c>
    </row>
    <row r="58" spans="1:18" s="7" customFormat="1" ht="12.75" hidden="1" customHeight="1" x14ac:dyDescent="0.2">
      <c r="A58" s="86" t="s">
        <v>75</v>
      </c>
      <c r="B58" s="111"/>
      <c r="C58" s="111"/>
      <c r="E58" s="112">
        <v>5</v>
      </c>
      <c r="F58" s="113" t="s">
        <v>12</v>
      </c>
      <c r="G58" s="112" t="s">
        <v>74</v>
      </c>
      <c r="H58" s="112" t="s">
        <v>19</v>
      </c>
      <c r="J58" s="36">
        <v>0</v>
      </c>
      <c r="K58" s="36"/>
      <c r="L58" s="36"/>
      <c r="M58" s="36"/>
      <c r="N58" s="36">
        <f t="shared" si="2"/>
        <v>0</v>
      </c>
      <c r="O58" s="36"/>
      <c r="P58" s="36"/>
      <c r="Q58" s="36"/>
      <c r="R58" s="36">
        <v>0</v>
      </c>
    </row>
    <row r="59" spans="1:18" s="7" customFormat="1" ht="12.75" hidden="1" customHeight="1" x14ac:dyDescent="0.2">
      <c r="A59" s="86" t="s">
        <v>77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49</v>
      </c>
      <c r="J59" s="36">
        <v>0</v>
      </c>
      <c r="K59" s="36"/>
      <c r="L59" s="36"/>
      <c r="M59" s="36"/>
      <c r="N59" s="36">
        <f t="shared" si="2"/>
        <v>0</v>
      </c>
      <c r="O59" s="36"/>
      <c r="P59" s="36"/>
      <c r="Q59" s="36"/>
      <c r="R59" s="36">
        <v>0</v>
      </c>
    </row>
    <row r="60" spans="1:18" s="7" customFormat="1" ht="12.75" customHeight="1" x14ac:dyDescent="0.2">
      <c r="A60" s="86" t="s">
        <v>78</v>
      </c>
      <c r="B60" s="111"/>
      <c r="C60" s="111"/>
      <c r="E60" s="112">
        <v>5</v>
      </c>
      <c r="F60" s="113" t="s">
        <v>12</v>
      </c>
      <c r="G60" s="112" t="s">
        <v>79</v>
      </c>
      <c r="H60" s="112" t="s">
        <v>10</v>
      </c>
      <c r="J60" s="36">
        <v>269022.43</v>
      </c>
      <c r="K60" s="36"/>
      <c r="L60" s="36">
        <v>283065.64</v>
      </c>
      <c r="M60" s="36"/>
      <c r="N60" s="36">
        <f t="shared" si="2"/>
        <v>36166934.359999999</v>
      </c>
      <c r="O60" s="36"/>
      <c r="P60" s="36">
        <v>36450000</v>
      </c>
      <c r="Q60" s="36"/>
      <c r="R60" s="187">
        <v>27600000</v>
      </c>
    </row>
    <row r="61" spans="1:18" s="7" customFormat="1" ht="12.75" customHeight="1" x14ac:dyDescent="0.2">
      <c r="A61" s="86" t="s">
        <v>80</v>
      </c>
      <c r="B61" s="111"/>
      <c r="C61" s="111"/>
      <c r="E61" s="112">
        <v>5</v>
      </c>
      <c r="F61" s="113" t="s">
        <v>12</v>
      </c>
      <c r="G61" s="112" t="s">
        <v>79</v>
      </c>
      <c r="H61" s="112" t="s">
        <v>15</v>
      </c>
      <c r="J61" s="36">
        <v>113711324</v>
      </c>
      <c r="K61" s="36"/>
      <c r="L61" s="36">
        <v>100276500</v>
      </c>
      <c r="M61" s="36"/>
      <c r="N61" s="36">
        <f t="shared" si="2"/>
        <v>235873500</v>
      </c>
      <c r="O61" s="36"/>
      <c r="P61" s="36">
        <v>336150000</v>
      </c>
      <c r="Q61" s="36"/>
      <c r="R61" s="187">
        <v>348231000</v>
      </c>
    </row>
    <row r="62" spans="1:18" s="7" customFormat="1" ht="12.75" customHeight="1" x14ac:dyDescent="0.2">
      <c r="A62" s="86" t="s">
        <v>61</v>
      </c>
      <c r="B62" s="111"/>
      <c r="C62" s="111"/>
      <c r="E62" s="112">
        <v>5</v>
      </c>
      <c r="F62" s="113" t="s">
        <v>12</v>
      </c>
      <c r="G62" s="112" t="s">
        <v>59</v>
      </c>
      <c r="H62" s="112" t="s">
        <v>8</v>
      </c>
      <c r="J62" s="36"/>
      <c r="K62" s="36"/>
      <c r="L62" s="36"/>
      <c r="M62" s="36"/>
      <c r="N62" s="36">
        <f>P62-L62</f>
        <v>1000000</v>
      </c>
      <c r="O62" s="36"/>
      <c r="P62" s="36">
        <v>1000000</v>
      </c>
      <c r="Q62" s="36"/>
      <c r="R62" s="187">
        <v>1000000</v>
      </c>
    </row>
    <row r="63" spans="1:18" s="7" customFormat="1" ht="12.75" customHeight="1" x14ac:dyDescent="0.2">
      <c r="A63" s="86" t="s">
        <v>62</v>
      </c>
      <c r="B63" s="111"/>
      <c r="C63" s="111"/>
      <c r="E63" s="112">
        <v>5</v>
      </c>
      <c r="F63" s="113" t="s">
        <v>12</v>
      </c>
      <c r="G63" s="112" t="s">
        <v>59</v>
      </c>
      <c r="H63" s="112" t="s">
        <v>10</v>
      </c>
      <c r="J63" s="36"/>
      <c r="K63" s="36"/>
      <c r="L63" s="36"/>
      <c r="M63" s="36"/>
      <c r="N63" s="36">
        <f>P63-L63</f>
        <v>1500000</v>
      </c>
      <c r="O63" s="36"/>
      <c r="P63" s="36">
        <v>1500000</v>
      </c>
      <c r="Q63" s="36"/>
      <c r="R63" s="187">
        <v>1200000</v>
      </c>
    </row>
    <row r="64" spans="1:18" s="7" customFormat="1" ht="12.75" customHeight="1" x14ac:dyDescent="0.2">
      <c r="A64" s="86" t="s">
        <v>156</v>
      </c>
      <c r="B64" s="111"/>
      <c r="C64" s="111"/>
      <c r="E64" s="112">
        <v>5</v>
      </c>
      <c r="F64" s="113" t="s">
        <v>12</v>
      </c>
      <c r="G64" s="114" t="s">
        <v>59</v>
      </c>
      <c r="H64" s="128" t="s">
        <v>17</v>
      </c>
      <c r="J64" s="36"/>
      <c r="K64" s="36"/>
      <c r="L64" s="36"/>
      <c r="M64" s="36"/>
      <c r="N64" s="36">
        <f>P64-L64</f>
        <v>300000</v>
      </c>
      <c r="O64" s="36"/>
      <c r="P64" s="36">
        <v>300000</v>
      </c>
      <c r="Q64" s="36"/>
      <c r="R64" s="187">
        <v>300000</v>
      </c>
    </row>
    <row r="65" spans="1:20" s="7" customFormat="1" ht="12.75" customHeight="1" x14ac:dyDescent="0.2">
      <c r="A65" s="86" t="s">
        <v>63</v>
      </c>
      <c r="B65" s="111"/>
      <c r="C65" s="111"/>
      <c r="E65" s="112">
        <v>5</v>
      </c>
      <c r="F65" s="113" t="s">
        <v>12</v>
      </c>
      <c r="G65" s="112" t="s">
        <v>59</v>
      </c>
      <c r="H65" s="112" t="s">
        <v>64</v>
      </c>
      <c r="J65" s="36"/>
      <c r="K65" s="36"/>
      <c r="L65" s="36">
        <v>806000</v>
      </c>
      <c r="M65" s="36"/>
      <c r="N65" s="36">
        <f>P65-L65</f>
        <v>194000</v>
      </c>
      <c r="O65" s="36"/>
      <c r="P65" s="36">
        <v>1000000</v>
      </c>
      <c r="Q65" s="36"/>
      <c r="R65" s="187">
        <v>1000000</v>
      </c>
    </row>
    <row r="66" spans="1:20" s="7" customFormat="1" ht="12.75" customHeight="1" x14ac:dyDescent="0.2">
      <c r="A66" s="86" t="s">
        <v>312</v>
      </c>
      <c r="B66" s="111"/>
      <c r="C66" s="111"/>
      <c r="E66" s="112">
        <v>5</v>
      </c>
      <c r="F66" s="113" t="s">
        <v>12</v>
      </c>
      <c r="G66" s="114" t="s">
        <v>59</v>
      </c>
      <c r="H66" s="128" t="s">
        <v>60</v>
      </c>
      <c r="J66" s="36">
        <v>431000</v>
      </c>
      <c r="K66" s="36"/>
      <c r="L66" s="36">
        <v>500000</v>
      </c>
      <c r="M66" s="36"/>
      <c r="N66" s="36"/>
      <c r="O66" s="36"/>
      <c r="P66" s="36">
        <v>2500000</v>
      </c>
      <c r="Q66" s="36"/>
      <c r="R66" s="187">
        <v>1000000</v>
      </c>
    </row>
    <row r="67" spans="1:20" s="7" customFormat="1" ht="12.75" customHeight="1" x14ac:dyDescent="0.2">
      <c r="A67" s="86" t="s">
        <v>65</v>
      </c>
      <c r="B67" s="111"/>
      <c r="C67" s="111"/>
      <c r="E67" s="112">
        <v>5</v>
      </c>
      <c r="F67" s="113" t="s">
        <v>12</v>
      </c>
      <c r="G67" s="112" t="s">
        <v>59</v>
      </c>
      <c r="H67" s="112" t="s">
        <v>19</v>
      </c>
      <c r="J67" s="36"/>
      <c r="K67" s="36"/>
      <c r="L67" s="36"/>
      <c r="M67" s="36"/>
      <c r="N67" s="36">
        <f>P67-L67</f>
        <v>150000</v>
      </c>
      <c r="O67" s="36"/>
      <c r="P67" s="36">
        <v>150000</v>
      </c>
      <c r="Q67" s="36"/>
      <c r="R67" s="187">
        <v>150000</v>
      </c>
    </row>
    <row r="68" spans="1:20" s="7" customFormat="1" ht="12.75" customHeight="1" x14ac:dyDescent="0.2">
      <c r="A68" s="86" t="s">
        <v>81</v>
      </c>
      <c r="B68" s="111"/>
      <c r="C68" s="111"/>
      <c r="E68" s="112">
        <v>5</v>
      </c>
      <c r="F68" s="113" t="s">
        <v>12</v>
      </c>
      <c r="G68" s="112" t="s">
        <v>59</v>
      </c>
      <c r="H68" s="113" t="s">
        <v>82</v>
      </c>
      <c r="J68" s="36">
        <v>111396812.2</v>
      </c>
      <c r="K68" s="36"/>
      <c r="L68" s="36">
        <v>36084337.899999999</v>
      </c>
      <c r="M68" s="36"/>
      <c r="N68" s="36">
        <f t="shared" ref="N68" si="3">P68-L68</f>
        <v>292625662.10000002</v>
      </c>
      <c r="O68" s="36"/>
      <c r="P68" s="36">
        <v>328710000</v>
      </c>
      <c r="Q68" s="36"/>
      <c r="R68" s="187">
        <v>318460000</v>
      </c>
    </row>
    <row r="69" spans="1:20" s="7" customFormat="1" ht="12.75" customHeight="1" x14ac:dyDescent="0.2">
      <c r="A69" s="86" t="s">
        <v>260</v>
      </c>
      <c r="B69" s="111"/>
      <c r="C69" s="111"/>
      <c r="E69" s="112">
        <v>5</v>
      </c>
      <c r="F69" s="113" t="s">
        <v>12</v>
      </c>
      <c r="G69" s="134">
        <v>99</v>
      </c>
      <c r="H69" s="135">
        <v>990</v>
      </c>
      <c r="J69" s="36">
        <v>104436065.65000001</v>
      </c>
      <c r="K69" s="36"/>
      <c r="L69" s="36">
        <v>47920106.560000002</v>
      </c>
      <c r="M69" s="36"/>
      <c r="N69" s="36">
        <f t="shared" si="2"/>
        <v>195553118.63999999</v>
      </c>
      <c r="O69" s="36"/>
      <c r="P69" s="36">
        <v>243473225.19999999</v>
      </c>
      <c r="Q69" s="36"/>
      <c r="R69" s="188">
        <v>98205064.400000006</v>
      </c>
    </row>
    <row r="70" spans="1:20" s="7" customFormat="1" ht="18.95" customHeight="1" x14ac:dyDescent="0.2">
      <c r="A70" s="314" t="s">
        <v>191</v>
      </c>
      <c r="B70" s="314"/>
      <c r="C70" s="314"/>
      <c r="J70" s="161">
        <f>SUM(J38:J69)</f>
        <v>445455196.91999996</v>
      </c>
      <c r="K70" s="162"/>
      <c r="L70" s="161">
        <f>SUM(L38:L69)</f>
        <v>221042066.75</v>
      </c>
      <c r="M70" s="36"/>
      <c r="N70" s="161">
        <f>SUM(N38:N69)</f>
        <v>913335197.81000006</v>
      </c>
      <c r="O70" s="36"/>
      <c r="P70" s="161">
        <f>SUM(P38:P69)</f>
        <v>1136377264.5599999</v>
      </c>
      <c r="Q70" s="36"/>
      <c r="R70" s="161">
        <f>SUM(R38:R69)</f>
        <v>990841694.39999998</v>
      </c>
      <c r="T70" s="7">
        <v>990841694.39999998</v>
      </c>
    </row>
    <row r="71" spans="1:20" s="7" customFormat="1" ht="6" customHeight="1" x14ac:dyDescent="0.2">
      <c r="A71" s="20"/>
      <c r="B71" s="20"/>
      <c r="C71" s="20"/>
      <c r="J71" s="162"/>
      <c r="K71" s="162"/>
      <c r="L71" s="36"/>
      <c r="M71" s="36"/>
      <c r="N71" s="36"/>
      <c r="O71" s="36"/>
      <c r="P71" s="36"/>
      <c r="Q71" s="36"/>
      <c r="R71" s="36"/>
    </row>
    <row r="72" spans="1:20" s="7" customFormat="1" ht="12.75" customHeight="1" x14ac:dyDescent="0.2">
      <c r="A72" s="68" t="s">
        <v>190</v>
      </c>
      <c r="B72" s="11"/>
      <c r="C72" s="11"/>
      <c r="J72" s="36"/>
      <c r="K72" s="36"/>
      <c r="L72" s="36"/>
      <c r="M72" s="36"/>
      <c r="N72" s="36"/>
      <c r="O72" s="36"/>
      <c r="P72" s="36"/>
      <c r="Q72" s="36"/>
      <c r="R72" s="36">
        <v>0</v>
      </c>
      <c r="T72" s="7">
        <f>T70-R70</f>
        <v>0</v>
      </c>
    </row>
    <row r="73" spans="1:20" s="7" customFormat="1" ht="12.75" customHeight="1" x14ac:dyDescent="0.2">
      <c r="A73" s="86" t="s">
        <v>92</v>
      </c>
      <c r="B73" s="111"/>
      <c r="C73" s="111"/>
      <c r="E73" s="112">
        <v>1</v>
      </c>
      <c r="F73" s="113" t="s">
        <v>93</v>
      </c>
      <c r="G73" s="112" t="s">
        <v>7</v>
      </c>
      <c r="H73" s="112" t="s">
        <v>8</v>
      </c>
      <c r="J73" s="36"/>
      <c r="K73" s="36"/>
      <c r="L73" s="36"/>
      <c r="M73" s="36"/>
      <c r="N73" s="36">
        <f t="shared" ref="N73:N82" si="4">P73-L73</f>
        <v>0</v>
      </c>
      <c r="O73" s="36"/>
      <c r="P73" s="36"/>
      <c r="Q73" s="36"/>
      <c r="R73" s="36">
        <v>0</v>
      </c>
    </row>
    <row r="74" spans="1:20" s="7" customFormat="1" ht="12.75" hidden="1" customHeight="1" x14ac:dyDescent="0.2">
      <c r="A74" s="86" t="s">
        <v>94</v>
      </c>
      <c r="B74" s="111"/>
      <c r="C74" s="111"/>
      <c r="E74" s="112">
        <v>1</v>
      </c>
      <c r="F74" s="113" t="s">
        <v>93</v>
      </c>
      <c r="G74" s="112" t="s">
        <v>34</v>
      </c>
      <c r="H74" s="112" t="s">
        <v>8</v>
      </c>
      <c r="J74" s="36"/>
      <c r="K74" s="36"/>
      <c r="L74" s="36"/>
      <c r="M74" s="36"/>
      <c r="N74" s="36">
        <f t="shared" si="4"/>
        <v>0</v>
      </c>
      <c r="O74" s="36"/>
      <c r="P74" s="36"/>
      <c r="Q74" s="36"/>
      <c r="R74" s="36"/>
    </row>
    <row r="75" spans="1:20" s="7" customFormat="1" ht="12.75" customHeight="1" x14ac:dyDescent="0.2">
      <c r="A75" s="86" t="s">
        <v>96</v>
      </c>
      <c r="B75" s="111"/>
      <c r="C75" s="111"/>
      <c r="E75" s="112">
        <v>1</v>
      </c>
      <c r="F75" s="113" t="s">
        <v>93</v>
      </c>
      <c r="G75" s="112" t="s">
        <v>54</v>
      </c>
      <c r="H75" s="114" t="s">
        <v>10</v>
      </c>
      <c r="J75" s="36"/>
      <c r="K75" s="36"/>
      <c r="L75" s="36"/>
      <c r="M75" s="36"/>
      <c r="N75" s="36">
        <f t="shared" si="4"/>
        <v>390000</v>
      </c>
      <c r="O75" s="36"/>
      <c r="P75" s="36">
        <v>390000</v>
      </c>
      <c r="Q75" s="36"/>
      <c r="R75" s="187">
        <v>180000</v>
      </c>
    </row>
    <row r="76" spans="1:20" s="7" customFormat="1" ht="12.75" customHeight="1" x14ac:dyDescent="0.2">
      <c r="A76" s="86" t="s">
        <v>98</v>
      </c>
      <c r="B76" s="116"/>
      <c r="C76" s="116"/>
      <c r="E76" s="112">
        <v>1</v>
      </c>
      <c r="F76" s="113" t="s">
        <v>93</v>
      </c>
      <c r="G76" s="112" t="s">
        <v>54</v>
      </c>
      <c r="H76" s="112" t="s">
        <v>15</v>
      </c>
      <c r="J76" s="36">
        <v>1173850</v>
      </c>
      <c r="K76" s="36"/>
      <c r="L76" s="36"/>
      <c r="M76" s="36"/>
      <c r="N76" s="36">
        <f t="shared" si="4"/>
        <v>5500000</v>
      </c>
      <c r="O76" s="36"/>
      <c r="P76" s="36">
        <v>5500000</v>
      </c>
      <c r="Q76" s="36"/>
      <c r="R76" s="187">
        <v>6300000</v>
      </c>
    </row>
    <row r="77" spans="1:20" s="7" customFormat="1" ht="12.75" hidden="1" customHeight="1" x14ac:dyDescent="0.2">
      <c r="A77" s="86" t="s">
        <v>100</v>
      </c>
      <c r="B77" s="111"/>
      <c r="C77" s="111"/>
      <c r="E77" s="112">
        <v>1</v>
      </c>
      <c r="F77" s="113" t="s">
        <v>93</v>
      </c>
      <c r="G77" s="112" t="s">
        <v>54</v>
      </c>
      <c r="H77" s="112" t="s">
        <v>19</v>
      </c>
      <c r="J77" s="36"/>
      <c r="K77" s="36"/>
      <c r="L77" s="36"/>
      <c r="M77" s="36"/>
      <c r="N77" s="36">
        <f t="shared" si="4"/>
        <v>0</v>
      </c>
      <c r="O77" s="36"/>
      <c r="P77" s="36"/>
      <c r="Q77" s="36"/>
      <c r="R77" s="36">
        <v>0</v>
      </c>
    </row>
    <row r="78" spans="1:20" s="7" customFormat="1" ht="12.75" customHeight="1" x14ac:dyDescent="0.2">
      <c r="A78" s="86" t="s">
        <v>101</v>
      </c>
      <c r="B78" s="111"/>
      <c r="C78" s="111"/>
      <c r="E78" s="112">
        <v>1</v>
      </c>
      <c r="F78" s="113" t="s">
        <v>93</v>
      </c>
      <c r="G78" s="112" t="s">
        <v>54</v>
      </c>
      <c r="H78" s="112" t="s">
        <v>102</v>
      </c>
      <c r="J78" s="36"/>
      <c r="K78" s="36"/>
      <c r="L78" s="36"/>
      <c r="M78" s="36"/>
      <c r="N78" s="36">
        <f t="shared" si="4"/>
        <v>3000000</v>
      </c>
      <c r="O78" s="36"/>
      <c r="P78" s="36">
        <v>3000000</v>
      </c>
      <c r="Q78" s="36"/>
      <c r="R78" s="187">
        <v>3000000</v>
      </c>
    </row>
    <row r="79" spans="1:20" s="7" customFormat="1" ht="12.75" customHeight="1" x14ac:dyDescent="0.2">
      <c r="A79" s="86" t="s">
        <v>105</v>
      </c>
      <c r="B79" s="111"/>
      <c r="C79" s="111"/>
      <c r="D79" s="113"/>
      <c r="E79" s="112">
        <v>1</v>
      </c>
      <c r="F79" s="113" t="s">
        <v>93</v>
      </c>
      <c r="G79" s="112" t="s">
        <v>54</v>
      </c>
      <c r="H79" s="114" t="s">
        <v>49</v>
      </c>
      <c r="J79" s="36"/>
      <c r="K79" s="36"/>
      <c r="L79" s="36"/>
      <c r="M79" s="36"/>
      <c r="N79" s="36">
        <f t="shared" si="4"/>
        <v>1900000</v>
      </c>
      <c r="O79" s="36"/>
      <c r="P79" s="36">
        <v>1900000</v>
      </c>
      <c r="Q79" s="36"/>
      <c r="R79" s="187">
        <v>400000</v>
      </c>
    </row>
    <row r="80" spans="1:20" s="7" customFormat="1" ht="12.75" customHeight="1" x14ac:dyDescent="0.2">
      <c r="A80" s="86" t="s">
        <v>106</v>
      </c>
      <c r="B80" s="111"/>
      <c r="C80" s="111"/>
      <c r="D80" s="113"/>
      <c r="E80" s="112">
        <v>1</v>
      </c>
      <c r="F80" s="113" t="s">
        <v>93</v>
      </c>
      <c r="G80" s="114" t="s">
        <v>67</v>
      </c>
      <c r="H80" s="114" t="s">
        <v>8</v>
      </c>
      <c r="J80" s="36">
        <v>8820000</v>
      </c>
      <c r="K80" s="36"/>
      <c r="L80" s="36"/>
      <c r="M80" s="36"/>
      <c r="N80" s="36">
        <f t="shared" si="4"/>
        <v>16000000</v>
      </c>
      <c r="O80" s="36"/>
      <c r="P80" s="36">
        <v>16000000</v>
      </c>
      <c r="Q80" s="36"/>
      <c r="R80" s="187">
        <v>16500000</v>
      </c>
    </row>
    <row r="81" spans="1:20" s="7" customFormat="1" ht="12.75" customHeight="1" x14ac:dyDescent="0.2">
      <c r="A81" s="86" t="s">
        <v>283</v>
      </c>
      <c r="B81" s="111"/>
      <c r="C81" s="111"/>
      <c r="D81" s="113"/>
      <c r="E81" s="112">
        <v>1</v>
      </c>
      <c r="F81" s="113" t="s">
        <v>93</v>
      </c>
      <c r="G81" s="114" t="s">
        <v>93</v>
      </c>
      <c r="H81" s="114" t="s">
        <v>8</v>
      </c>
      <c r="J81" s="36">
        <v>403000</v>
      </c>
      <c r="K81" s="36"/>
      <c r="L81" s="36"/>
      <c r="M81" s="36"/>
      <c r="N81" s="36">
        <f t="shared" si="4"/>
        <v>540000</v>
      </c>
      <c r="O81" s="36"/>
      <c r="P81" s="36">
        <v>540000</v>
      </c>
      <c r="Q81" s="36"/>
      <c r="R81" s="187">
        <v>1000000</v>
      </c>
    </row>
    <row r="82" spans="1:20" s="7" customFormat="1" ht="12.75" hidden="1" customHeight="1" x14ac:dyDescent="0.2">
      <c r="A82" s="86" t="s">
        <v>107</v>
      </c>
      <c r="B82" s="111"/>
      <c r="C82" s="111"/>
      <c r="D82" s="113"/>
      <c r="E82" s="112">
        <v>1</v>
      </c>
      <c r="F82" s="113" t="s">
        <v>93</v>
      </c>
      <c r="G82" s="112" t="s">
        <v>59</v>
      </c>
      <c r="H82" s="114" t="s">
        <v>49</v>
      </c>
      <c r="J82" s="36"/>
      <c r="K82" s="36"/>
      <c r="L82" s="36"/>
      <c r="M82" s="36"/>
      <c r="N82" s="36">
        <f t="shared" si="4"/>
        <v>0</v>
      </c>
      <c r="O82" s="36"/>
      <c r="P82" s="36"/>
      <c r="Q82" s="36"/>
      <c r="R82" s="36">
        <v>0</v>
      </c>
    </row>
    <row r="83" spans="1:20" s="7" customFormat="1" ht="12.75" hidden="1" customHeight="1" x14ac:dyDescent="0.2">
      <c r="A83" s="86" t="s">
        <v>271</v>
      </c>
      <c r="B83" s="111"/>
      <c r="C83" s="111"/>
      <c r="D83" s="113"/>
      <c r="E83" s="112">
        <v>1</v>
      </c>
      <c r="F83" s="128" t="s">
        <v>272</v>
      </c>
      <c r="G83" s="114" t="s">
        <v>7</v>
      </c>
      <c r="H83" s="114" t="s">
        <v>10</v>
      </c>
      <c r="J83" s="36"/>
      <c r="K83" s="36"/>
      <c r="L83" s="36"/>
      <c r="M83" s="36"/>
      <c r="N83" s="36">
        <f>P83-L83</f>
        <v>0</v>
      </c>
      <c r="O83" s="36"/>
      <c r="P83" s="36"/>
      <c r="Q83" s="36"/>
      <c r="R83" s="36">
        <v>0</v>
      </c>
    </row>
    <row r="84" spans="1:20" s="27" customFormat="1" ht="18.95" customHeight="1" x14ac:dyDescent="0.2">
      <c r="A84" s="102" t="s">
        <v>108</v>
      </c>
      <c r="B84" s="26"/>
      <c r="C84" s="26"/>
      <c r="J84" s="21">
        <f>SUM(J73:J83)</f>
        <v>10396850</v>
      </c>
      <c r="K84" s="23"/>
      <c r="L84" s="21">
        <f>SUM(L73:L79)</f>
        <v>0</v>
      </c>
      <c r="N84" s="21">
        <f>SUM(N73:N83)</f>
        <v>27330000</v>
      </c>
      <c r="P84" s="21">
        <f>SUM(P73:P83)</f>
        <v>27330000</v>
      </c>
      <c r="R84" s="21">
        <f>SUM(R73:R82)</f>
        <v>27380000</v>
      </c>
    </row>
    <row r="85" spans="1:20" s="7" customFormat="1" ht="6" customHeight="1" x14ac:dyDescent="0.2"/>
    <row r="86" spans="1:20" s="7" customFormat="1" ht="20.100000000000001" customHeight="1" thickBot="1" x14ac:dyDescent="0.25">
      <c r="A86" s="11" t="s">
        <v>110</v>
      </c>
      <c r="B86" s="28"/>
      <c r="C86" s="28"/>
      <c r="J86" s="29">
        <f>J35+J70+J84</f>
        <v>639790082.26999998</v>
      </c>
      <c r="K86" s="23"/>
      <c r="L86" s="29">
        <f>L35+L70+L84</f>
        <v>305986891.22000003</v>
      </c>
      <c r="N86" s="29">
        <f>N35+N70+N84</f>
        <v>1155971039.5</v>
      </c>
      <c r="P86" s="29">
        <f>P35+P70+P84</f>
        <v>1463957930.7199998</v>
      </c>
      <c r="R86" s="29">
        <f>R35+R70+R84</f>
        <v>1260734147.05</v>
      </c>
      <c r="T86" s="7">
        <v>1260734147.05</v>
      </c>
    </row>
    <row r="87" spans="1:20" s="7" customFormat="1" ht="13.5" thickTop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  <c r="T87" s="7">
        <f>T86-R86</f>
        <v>0</v>
      </c>
    </row>
    <row r="88" spans="1:20" s="7" customFormat="1" x14ac:dyDescent="0.2">
      <c r="A88" s="31"/>
      <c r="B88" s="31"/>
      <c r="C88" s="31"/>
      <c r="D88" s="34"/>
      <c r="E88" s="31"/>
      <c r="F88" s="31"/>
      <c r="H88" s="35"/>
      <c r="I88" s="35"/>
      <c r="J88" s="35"/>
      <c r="K88" s="35"/>
      <c r="L88" s="35"/>
      <c r="M88" s="35"/>
    </row>
    <row r="89" spans="1:20" s="7" customFormat="1" ht="8.1" customHeight="1" x14ac:dyDescent="0.2">
      <c r="A89" s="31"/>
      <c r="B89" s="31"/>
      <c r="C89" s="31"/>
      <c r="D89" s="34"/>
      <c r="E89" s="31"/>
      <c r="F89" s="31"/>
      <c r="H89" s="35"/>
      <c r="I89" s="35"/>
      <c r="J89" s="35"/>
      <c r="K89" s="35"/>
      <c r="L89" s="35"/>
      <c r="M89" s="35"/>
    </row>
    <row r="90" spans="1:20" x14ac:dyDescent="0.2">
      <c r="A90" s="46"/>
      <c r="C90" s="150" t="s">
        <v>276</v>
      </c>
      <c r="D90" s="33"/>
      <c r="E90" s="32"/>
      <c r="G90" s="31"/>
      <c r="I90" s="31"/>
      <c r="M90" s="47"/>
      <c r="N90" s="311" t="s">
        <v>135</v>
      </c>
      <c r="O90" s="311"/>
      <c r="P90" s="311"/>
    </row>
    <row r="91" spans="1:20" ht="9.9499999999999993" customHeight="1" x14ac:dyDescent="0.2">
      <c r="A91" s="46"/>
      <c r="C91" s="150"/>
      <c r="D91" s="33"/>
      <c r="E91" s="32"/>
      <c r="G91" s="31"/>
      <c r="I91" s="31"/>
      <c r="M91" s="47"/>
      <c r="N91" s="147"/>
      <c r="O91" s="147"/>
      <c r="P91" s="147"/>
    </row>
    <row r="92" spans="1:20" x14ac:dyDescent="0.2">
      <c r="A92" s="50"/>
      <c r="C92" s="150"/>
      <c r="D92" s="33"/>
      <c r="E92" s="51"/>
      <c r="G92" s="31"/>
      <c r="I92" s="31"/>
      <c r="M92" s="150"/>
      <c r="N92" s="36"/>
      <c r="O92" s="36"/>
      <c r="P92" s="51"/>
    </row>
    <row r="93" spans="1:20" x14ac:dyDescent="0.2">
      <c r="A93" s="52"/>
      <c r="C93" s="31"/>
      <c r="D93" s="31"/>
      <c r="E93" s="53"/>
      <c r="G93" s="31"/>
      <c r="I93" s="31"/>
      <c r="M93" s="31"/>
      <c r="P93" s="53"/>
    </row>
    <row r="94" spans="1:20" x14ac:dyDescent="0.2">
      <c r="A94" s="54"/>
      <c r="C94" s="92" t="s">
        <v>291</v>
      </c>
      <c r="D94" s="55"/>
      <c r="E94" s="56"/>
      <c r="G94" s="31"/>
      <c r="I94" s="31"/>
      <c r="M94" s="57"/>
      <c r="N94" s="312" t="s">
        <v>137</v>
      </c>
      <c r="O94" s="312"/>
      <c r="P94" s="312"/>
    </row>
    <row r="95" spans="1:20" x14ac:dyDescent="0.2">
      <c r="A95" s="52"/>
      <c r="C95" s="30" t="s">
        <v>269</v>
      </c>
      <c r="D95" s="31"/>
      <c r="E95" s="32"/>
      <c r="G95" s="31"/>
      <c r="I95" s="31"/>
      <c r="M95" s="33"/>
      <c r="N95" s="313" t="s">
        <v>139</v>
      </c>
      <c r="O95" s="313"/>
      <c r="P95" s="313"/>
    </row>
  </sheetData>
  <customSheetViews>
    <customSheetView guid="{1998FCB8-1FEB-4076-ACE6-A225EE4366B3}" showPageBreaks="1" printArea="1" hiddenRows="1" view="pageBreakPreview">
      <pane xSplit="1" ySplit="14" topLeftCell="D75" activePane="bottomRight" state="frozen"/>
      <selection pane="bottomRight" activeCell="P67" sqref="P67"/>
      <rowBreaks count="2" manualBreakCount="2">
        <brk id="41" max="18" man="1"/>
        <brk id="67" max="18" man="1"/>
      </rowBreaks>
      <pageMargins left="0.75" right="0.9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2&amp;R&amp;"Arial,Regular"&amp;10Annex E                                                                                                           &amp;"Arial,Bold"               </oddHeader>
        <oddFooter>&amp;C&amp;10Page &amp;P of &amp;N</oddFooter>
      </headerFooter>
    </customSheetView>
    <customSheetView guid="{870B4CCF-089A-4C19-A059-259DAAB1F3BC}" scale="90" showPageBreaks="1" printArea="1" view="pageBreakPreview">
      <pane xSplit="1" ySplit="14" topLeftCell="B70" activePane="bottomRight" state="frozen"/>
      <selection pane="bottomRight" activeCell="A84" sqref="A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cale="90" showPageBreaks="1" printArea="1" hiddenRows="1" view="pageBreakPreview">
      <pane xSplit="1" ySplit="14" topLeftCell="D69" activePane="bottomRight" state="frozen"/>
      <selection pane="bottomRight" activeCell="K80" sqref="K80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cale="90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84" sqref="R84"/>
      <rowBreaks count="2" manualBreakCount="2">
        <brk id="41" max="18" man="1"/>
        <brk id="67" max="18" man="1"/>
      </rowBreaks>
      <pageMargins left="0.75" right="0.9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&amp;L&amp;"Arial,Regular"&amp;10               LBP Form No. 2&amp;R&amp;"Arial,Regular"&amp;10Annex E                                   </oddHeader>
        <oddFooter>&amp;C&amp;10Page &amp;P of &amp;N</oddFooter>
      </headerFooter>
    </customSheetView>
  </customSheetViews>
  <mergeCells count="12">
    <mergeCell ref="N90:P90"/>
    <mergeCell ref="N94:P94"/>
    <mergeCell ref="N95:P95"/>
    <mergeCell ref="A70:C70"/>
    <mergeCell ref="A1:S1"/>
    <mergeCell ref="A2:S2"/>
    <mergeCell ref="A11:C11"/>
    <mergeCell ref="A13:C13"/>
    <mergeCell ref="L9:P9"/>
    <mergeCell ref="E13:H13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scaleWithDoc="0" alignWithMargins="0">
    <oddHeader xml:space="preserve">&amp;L&amp;"Arial,Regular"&amp;9               LBP Form No. 2&amp;R&amp;"Arial,Bold"&amp;10Annex E                                                                                                                                                  &amp;"Arial,Regular"                  </oddHeader>
    <oddFooter>&amp;C&amp;10Page &amp;P of &amp;N</oddFooter>
  </headerFooter>
  <rowBreaks count="1" manualBreakCount="1">
    <brk id="71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2"/>
  <sheetViews>
    <sheetView view="pageBreakPreview" zoomScaleNormal="85" zoomScaleSheetLayoutView="100" workbookViewId="0">
      <pane xSplit="1" ySplit="14" topLeftCell="B64" activePane="bottomRight" state="frozen"/>
      <selection pane="topRight" activeCell="B1" sqref="B1"/>
      <selection pane="bottomLeft" activeCell="A15" sqref="A15"/>
      <selection pane="bottomRight" activeCell="R154" sqref="R15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33203125" style="1" customWidth="1"/>
    <col min="21" max="21" width="9.6640625" style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211</v>
      </c>
      <c r="H4" s="3"/>
      <c r="I4" s="3"/>
      <c r="R4" s="77">
        <v>7611</v>
      </c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331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98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97"/>
      <c r="B12" s="97"/>
      <c r="C12" s="97"/>
      <c r="D12" s="9"/>
      <c r="E12" s="97"/>
      <c r="F12" s="97"/>
      <c r="G12" s="97"/>
      <c r="H12" s="97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6231760.5</v>
      </c>
      <c r="K17" s="13"/>
      <c r="L17" s="36">
        <v>3400363.65</v>
      </c>
      <c r="M17" s="36"/>
      <c r="N17" s="36">
        <f>P17-L17</f>
        <v>5530474.8200000003</v>
      </c>
      <c r="O17" s="36"/>
      <c r="P17" s="36">
        <v>8930838.4700000007</v>
      </c>
      <c r="Q17" s="36"/>
      <c r="R17" s="36">
        <v>9604266.4000000004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/>
      <c r="O18" s="36"/>
      <c r="P18" s="36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583740.56999999995</v>
      </c>
      <c r="K19" s="13"/>
      <c r="L19" s="36">
        <v>349949.49</v>
      </c>
      <c r="M19" s="36"/>
      <c r="N19" s="36">
        <f t="shared" ref="N19:N22" si="0">P19-L19</f>
        <v>394050.51</v>
      </c>
      <c r="O19" s="36"/>
      <c r="P19" s="36">
        <v>744000</v>
      </c>
      <c r="Q19" s="36"/>
      <c r="R19" s="36">
        <v>744000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93500</v>
      </c>
      <c r="K20" s="13"/>
      <c r="L20" s="36">
        <v>51000</v>
      </c>
      <c r="M20" s="36"/>
      <c r="N20" s="36">
        <f t="shared" si="0"/>
        <v>51000</v>
      </c>
      <c r="O20" s="36"/>
      <c r="P20" s="36">
        <v>102000</v>
      </c>
      <c r="Q20" s="36"/>
      <c r="R20" s="36">
        <v>102000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93500</v>
      </c>
      <c r="K21" s="13"/>
      <c r="L21" s="36">
        <v>42500</v>
      </c>
      <c r="M21" s="36"/>
      <c r="N21" s="36">
        <f t="shared" si="0"/>
        <v>59500</v>
      </c>
      <c r="O21" s="36"/>
      <c r="P21" s="36">
        <v>102000</v>
      </c>
      <c r="Q21" s="36"/>
      <c r="R21" s="36">
        <v>102000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144000</v>
      </c>
      <c r="K22" s="13"/>
      <c r="L22" s="36">
        <v>156000</v>
      </c>
      <c r="M22" s="36"/>
      <c r="N22" s="36">
        <f t="shared" si="0"/>
        <v>30000</v>
      </c>
      <c r="O22" s="36"/>
      <c r="P22" s="36">
        <v>186000</v>
      </c>
      <c r="Q22" s="36"/>
      <c r="R22" s="36">
        <v>186000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143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45</v>
      </c>
      <c r="J24" s="13"/>
      <c r="K24" s="13"/>
      <c r="L24" s="36"/>
      <c r="M24" s="36"/>
      <c r="N24" s="36"/>
      <c r="O24" s="36"/>
      <c r="P24" s="36"/>
      <c r="Q24" s="36"/>
      <c r="R24" s="36"/>
    </row>
    <row r="25" spans="1:18" s="7" customFormat="1" ht="12.75" hidden="1" customHeight="1" x14ac:dyDescent="0.2">
      <c r="A25" s="86" t="s">
        <v>144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60</v>
      </c>
      <c r="J25" s="13"/>
      <c r="K25" s="13"/>
      <c r="L25" s="36"/>
      <c r="M25" s="36"/>
      <c r="N25" s="36">
        <f t="shared" ref="N25:N37" si="1">P25-L25</f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18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19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hidden="1" customHeight="1" x14ac:dyDescent="0.2">
      <c r="A27" s="86" t="s">
        <v>21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102</v>
      </c>
      <c r="J27" s="13"/>
      <c r="K27" s="13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18" s="7" customFormat="1" ht="12.75" customHeight="1" x14ac:dyDescent="0.2">
      <c r="A28" s="86" t="s">
        <v>22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146</v>
      </c>
      <c r="J28" s="13">
        <v>0</v>
      </c>
      <c r="K28" s="13"/>
      <c r="L28" s="36">
        <v>418500</v>
      </c>
      <c r="M28" s="36"/>
      <c r="N28" s="36">
        <f t="shared" si="1"/>
        <v>213000</v>
      </c>
      <c r="O28" s="36"/>
      <c r="P28" s="36">
        <v>631500</v>
      </c>
      <c r="Q28" s="36"/>
      <c r="R28" s="36">
        <v>60000</v>
      </c>
    </row>
    <row r="29" spans="1:18" s="7" customFormat="1" ht="12.75" hidden="1" customHeight="1" x14ac:dyDescent="0.2">
      <c r="A29" s="86" t="s">
        <v>145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47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23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24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customHeight="1" x14ac:dyDescent="0.2">
      <c r="A31" s="86" t="s">
        <v>27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28</v>
      </c>
      <c r="J31" s="36">
        <v>537551</v>
      </c>
      <c r="K31" s="36"/>
      <c r="L31" s="36"/>
      <c r="M31" s="36"/>
      <c r="N31" s="36">
        <f>P31-L31</f>
        <v>766808</v>
      </c>
      <c r="O31" s="36"/>
      <c r="P31" s="36">
        <v>766808</v>
      </c>
      <c r="Q31" s="36"/>
      <c r="R31" s="36">
        <v>801738</v>
      </c>
    </row>
    <row r="32" spans="1:18" s="7" customFormat="1" ht="12.75" customHeight="1" x14ac:dyDescent="0.2">
      <c r="A32" s="86" t="s">
        <v>25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26</v>
      </c>
      <c r="J32" s="36">
        <v>125000</v>
      </c>
      <c r="K32" s="36"/>
      <c r="L32" s="36"/>
      <c r="M32" s="36"/>
      <c r="N32" s="36">
        <f t="shared" si="1"/>
        <v>155000</v>
      </c>
      <c r="O32" s="36"/>
      <c r="P32" s="36">
        <v>155000</v>
      </c>
      <c r="Q32" s="36"/>
      <c r="R32" s="36">
        <v>155000</v>
      </c>
    </row>
    <row r="33" spans="1:18" s="7" customFormat="1" ht="12.75" customHeight="1" x14ac:dyDescent="0.2">
      <c r="A33" s="86" t="s">
        <v>140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49</v>
      </c>
      <c r="J33" s="13">
        <v>509445</v>
      </c>
      <c r="K33" s="13"/>
      <c r="L33" s="36">
        <v>586796</v>
      </c>
      <c r="M33" s="36"/>
      <c r="N33" s="36">
        <f>P33-L33</f>
        <v>175012</v>
      </c>
      <c r="O33" s="36"/>
      <c r="P33" s="36">
        <v>761808</v>
      </c>
      <c r="Q33" s="36"/>
      <c r="R33" s="36">
        <v>801738</v>
      </c>
    </row>
    <row r="34" spans="1:18" s="7" customFormat="1" ht="12.75" customHeight="1" x14ac:dyDescent="0.2">
      <c r="A34" s="86" t="s">
        <v>263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8</v>
      </c>
      <c r="J34" s="36">
        <v>745875.84</v>
      </c>
      <c r="K34" s="36"/>
      <c r="L34" s="36">
        <v>467099.33</v>
      </c>
      <c r="M34" s="36"/>
      <c r="N34" s="36">
        <f t="shared" si="1"/>
        <v>637104.18999999994</v>
      </c>
      <c r="O34" s="36"/>
      <c r="P34" s="36">
        <v>1104203.52</v>
      </c>
      <c r="Q34" s="36"/>
      <c r="R34" s="36">
        <v>1154502.72</v>
      </c>
    </row>
    <row r="35" spans="1:18" s="7" customFormat="1" ht="12.75" customHeight="1" x14ac:dyDescent="0.2">
      <c r="A35" s="86" t="s">
        <v>30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10</v>
      </c>
      <c r="J35" s="36">
        <v>29400</v>
      </c>
      <c r="K35" s="36"/>
      <c r="L35" s="36">
        <v>17600</v>
      </c>
      <c r="M35" s="36"/>
      <c r="N35" s="36">
        <f t="shared" si="1"/>
        <v>19600</v>
      </c>
      <c r="O35" s="36"/>
      <c r="P35" s="36">
        <v>37200</v>
      </c>
      <c r="Q35" s="36"/>
      <c r="R35" s="36">
        <v>37200</v>
      </c>
    </row>
    <row r="36" spans="1:18" s="7" customFormat="1" ht="12.75" customHeight="1" x14ac:dyDescent="0.2">
      <c r="A36" s="86" t="s">
        <v>31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15</v>
      </c>
      <c r="J36" s="36">
        <v>73073.240000000005</v>
      </c>
      <c r="K36" s="36"/>
      <c r="L36" s="36">
        <v>54352.38</v>
      </c>
      <c r="M36" s="36"/>
      <c r="N36" s="36">
        <f t="shared" si="1"/>
        <v>73218.299999999988</v>
      </c>
      <c r="O36" s="36"/>
      <c r="P36" s="36">
        <v>127570.68</v>
      </c>
      <c r="Q36" s="36"/>
      <c r="R36" s="36">
        <v>160990.82999999999</v>
      </c>
    </row>
    <row r="37" spans="1:18" s="7" customFormat="1" ht="12.75" customHeight="1" x14ac:dyDescent="0.2">
      <c r="A37" s="86" t="s">
        <v>32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17</v>
      </c>
      <c r="J37" s="36">
        <v>29400</v>
      </c>
      <c r="K37" s="36"/>
      <c r="L37" s="36">
        <v>17600</v>
      </c>
      <c r="M37" s="36"/>
      <c r="N37" s="36">
        <f t="shared" si="1"/>
        <v>19600</v>
      </c>
      <c r="O37" s="36"/>
      <c r="P37" s="36">
        <v>37200</v>
      </c>
      <c r="Q37" s="36"/>
      <c r="R37" s="36">
        <v>37200</v>
      </c>
    </row>
    <row r="38" spans="1:18" s="7" customFormat="1" ht="12.75" customHeight="1" x14ac:dyDescent="0.2">
      <c r="A38" s="86" t="s">
        <v>147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8</v>
      </c>
      <c r="J38" s="36"/>
      <c r="K38" s="36"/>
      <c r="L38" s="36"/>
      <c r="M38" s="36"/>
      <c r="N38" s="36"/>
      <c r="O38" s="36"/>
      <c r="P38" s="36"/>
      <c r="Q38" s="36"/>
      <c r="R38" s="36"/>
    </row>
    <row r="39" spans="1:18" s="7" customFormat="1" ht="12.75" customHeight="1" x14ac:dyDescent="0.2">
      <c r="A39" s="86" t="s">
        <v>148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10</v>
      </c>
      <c r="J39" s="36"/>
      <c r="K39" s="36"/>
      <c r="L39" s="36"/>
      <c r="M39" s="36"/>
      <c r="N39" s="36"/>
      <c r="O39" s="36"/>
      <c r="P39" s="36"/>
      <c r="Q39" s="36"/>
      <c r="R39" s="36"/>
    </row>
    <row r="40" spans="1:18" s="7" customFormat="1" ht="12.75" customHeight="1" x14ac:dyDescent="0.2">
      <c r="A40" s="86" t="s">
        <v>33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15</v>
      </c>
      <c r="J40" s="36"/>
      <c r="K40" s="36"/>
      <c r="L40" s="36"/>
      <c r="M40" s="36"/>
      <c r="N40" s="36"/>
      <c r="O40" s="36"/>
      <c r="P40" s="36"/>
      <c r="Q40" s="36"/>
      <c r="R40" s="36">
        <v>216979.8</v>
      </c>
    </row>
    <row r="41" spans="1:18" s="7" customFormat="1" ht="12.75" customHeight="1" x14ac:dyDescent="0.2">
      <c r="A41" s="86" t="s">
        <v>35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49</v>
      </c>
      <c r="J41" s="36">
        <v>160000</v>
      </c>
      <c r="K41" s="36"/>
      <c r="L41" s="36"/>
      <c r="M41" s="36"/>
      <c r="N41" s="36">
        <f>P41-L41</f>
        <v>160000</v>
      </c>
      <c r="O41" s="36"/>
      <c r="P41" s="36">
        <v>160000</v>
      </c>
      <c r="Q41" s="36"/>
      <c r="R41" s="36">
        <v>155000</v>
      </c>
    </row>
    <row r="42" spans="1:18" s="7" customFormat="1" ht="12.75" hidden="1" customHeight="1" x14ac:dyDescent="0.2">
      <c r="A42" s="86" t="s">
        <v>149</v>
      </c>
      <c r="B42" s="111"/>
      <c r="C42" s="111"/>
      <c r="D42" s="112"/>
      <c r="E42" s="112">
        <v>5</v>
      </c>
      <c r="F42" s="113" t="s">
        <v>7</v>
      </c>
      <c r="G42" s="112" t="s">
        <v>29</v>
      </c>
      <c r="H42" s="112" t="s">
        <v>64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s="7" customFormat="1" ht="18.95" customHeight="1" x14ac:dyDescent="0.2">
      <c r="A43" s="63" t="s">
        <v>36</v>
      </c>
      <c r="B43" s="26"/>
      <c r="C43" s="26"/>
      <c r="J43" s="161">
        <f>SUM(J17:J42)</f>
        <v>9356246.1500000004</v>
      </c>
      <c r="K43" s="162"/>
      <c r="L43" s="161">
        <f>SUM(L17:L42)</f>
        <v>5561760.8499999996</v>
      </c>
      <c r="M43" s="36"/>
      <c r="N43" s="161">
        <f>SUM(N17:N42)</f>
        <v>8284367.8199999994</v>
      </c>
      <c r="O43" s="36"/>
      <c r="P43" s="161">
        <f>SUM(P17:P42)</f>
        <v>13846128.67</v>
      </c>
      <c r="Q43" s="36"/>
      <c r="R43" s="161">
        <f>SUM(R17:R41)</f>
        <v>14318615.750000002</v>
      </c>
    </row>
    <row r="44" spans="1:18" s="7" customFormat="1" ht="6" customHeight="1" x14ac:dyDescent="0.2">
      <c r="A44" s="17"/>
      <c r="B44" s="17"/>
      <c r="C44" s="17"/>
      <c r="J44" s="162"/>
      <c r="K44" s="162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68" t="s">
        <v>188</v>
      </c>
      <c r="B45" s="12"/>
      <c r="C45" s="12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7" customFormat="1" ht="6" customHeight="1" x14ac:dyDescent="0.2">
      <c r="A46" s="68"/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12.75" customHeight="1" x14ac:dyDescent="0.2">
      <c r="A47" s="86" t="s">
        <v>37</v>
      </c>
      <c r="B47" s="111"/>
      <c r="C47" s="111"/>
      <c r="D47" s="112"/>
      <c r="E47" s="112">
        <v>5</v>
      </c>
      <c r="F47" s="113" t="s">
        <v>12</v>
      </c>
      <c r="G47" s="112" t="s">
        <v>7</v>
      </c>
      <c r="H47" s="112" t="s">
        <v>8</v>
      </c>
      <c r="J47" s="36">
        <v>58483</v>
      </c>
      <c r="K47" s="36"/>
      <c r="L47" s="36"/>
      <c r="M47" s="36"/>
      <c r="N47" s="36">
        <f t="shared" ref="N47:N54" si="2">P47-L47</f>
        <v>286800</v>
      </c>
      <c r="O47" s="36"/>
      <c r="P47" s="36">
        <v>286800</v>
      </c>
      <c r="Q47" s="36"/>
      <c r="R47" s="36">
        <v>412200</v>
      </c>
    </row>
    <row r="48" spans="1:18" s="7" customFormat="1" ht="12.75" hidden="1" customHeight="1" x14ac:dyDescent="0.2">
      <c r="A48" s="86" t="s">
        <v>38</v>
      </c>
      <c r="B48" s="111"/>
      <c r="C48" s="111"/>
      <c r="E48" s="112">
        <v>5</v>
      </c>
      <c r="F48" s="113" t="s">
        <v>12</v>
      </c>
      <c r="G48" s="112" t="s">
        <v>7</v>
      </c>
      <c r="H48" s="112" t="s">
        <v>10</v>
      </c>
      <c r="J48" s="36"/>
      <c r="K48" s="36"/>
      <c r="L48" s="36"/>
      <c r="M48" s="36"/>
      <c r="N48" s="36">
        <f t="shared" si="2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39</v>
      </c>
      <c r="B49" s="111"/>
      <c r="C49" s="111"/>
      <c r="E49" s="112">
        <v>5</v>
      </c>
      <c r="F49" s="113" t="s">
        <v>12</v>
      </c>
      <c r="G49" s="112" t="s">
        <v>12</v>
      </c>
      <c r="H49" s="112" t="s">
        <v>8</v>
      </c>
      <c r="J49" s="36">
        <v>80576</v>
      </c>
      <c r="K49" s="36"/>
      <c r="L49" s="36"/>
      <c r="M49" s="36"/>
      <c r="N49" s="36">
        <f t="shared" si="2"/>
        <v>1711000</v>
      </c>
      <c r="O49" s="36"/>
      <c r="P49" s="36">
        <v>1711000</v>
      </c>
      <c r="Q49" s="36"/>
      <c r="R49" s="36">
        <v>1050000</v>
      </c>
    </row>
    <row r="50" spans="1:18" s="7" customFormat="1" ht="12.75" hidden="1" customHeight="1" x14ac:dyDescent="0.2">
      <c r="A50" s="86" t="s">
        <v>142</v>
      </c>
      <c r="B50" s="111"/>
      <c r="C50" s="111"/>
      <c r="D50" s="112"/>
      <c r="E50" s="112">
        <v>5</v>
      </c>
      <c r="F50" s="113" t="s">
        <v>12</v>
      </c>
      <c r="G50" s="112" t="s">
        <v>12</v>
      </c>
      <c r="H50" s="112" t="s">
        <v>10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18" s="7" customFormat="1" ht="12.75" customHeight="1" x14ac:dyDescent="0.2">
      <c r="A51" s="86" t="s">
        <v>40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8</v>
      </c>
      <c r="J51" s="36"/>
      <c r="K51" s="36"/>
      <c r="L51" s="36"/>
      <c r="M51" s="36"/>
      <c r="N51" s="36">
        <f>P51-L51</f>
        <v>1100000</v>
      </c>
      <c r="O51" s="36"/>
      <c r="P51" s="36">
        <v>1100000</v>
      </c>
      <c r="Q51" s="36"/>
      <c r="R51" s="36">
        <v>1500000</v>
      </c>
    </row>
    <row r="52" spans="1:18" s="7" customFormat="1" ht="12.75" hidden="1" customHeight="1" x14ac:dyDescent="0.2">
      <c r="A52" s="86" t="s">
        <v>41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10</v>
      </c>
      <c r="J52" s="36"/>
      <c r="K52" s="36"/>
      <c r="L52" s="36"/>
      <c r="M52" s="36"/>
      <c r="N52" s="36">
        <f t="shared" si="2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42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17</v>
      </c>
      <c r="J53" s="36"/>
      <c r="K53" s="36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18" s="7" customFormat="1" ht="12.75" customHeight="1" x14ac:dyDescent="0.2">
      <c r="A54" s="86" t="s">
        <v>43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64</v>
      </c>
      <c r="J54" s="36">
        <v>1151624.25</v>
      </c>
      <c r="K54" s="36"/>
      <c r="L54" s="36">
        <v>777099.4</v>
      </c>
      <c r="M54" s="36"/>
      <c r="N54" s="36">
        <f t="shared" si="2"/>
        <v>4222900.5999999996</v>
      </c>
      <c r="O54" s="36"/>
      <c r="P54" s="36">
        <v>5000000</v>
      </c>
      <c r="Q54" s="36"/>
      <c r="R54" s="36">
        <v>5000000</v>
      </c>
    </row>
    <row r="55" spans="1:18" s="7" customFormat="1" ht="12.75" hidden="1" customHeight="1" x14ac:dyDescent="0.2">
      <c r="A55" s="86" t="s">
        <v>88</v>
      </c>
      <c r="B55" s="111"/>
      <c r="C55" s="111"/>
      <c r="E55" s="112">
        <v>5</v>
      </c>
      <c r="F55" s="113" t="s">
        <v>12</v>
      </c>
      <c r="G55" s="112" t="s">
        <v>29</v>
      </c>
      <c r="H55" s="112" t="s">
        <v>60</v>
      </c>
      <c r="J55" s="36"/>
      <c r="K55" s="36"/>
      <c r="L55" s="36"/>
      <c r="M55" s="36"/>
      <c r="N55" s="36"/>
      <c r="O55" s="36"/>
      <c r="P55" s="36"/>
      <c r="Q55" s="36"/>
      <c r="R55" s="36"/>
    </row>
    <row r="56" spans="1:18" s="7" customFormat="1" ht="12.75" hidden="1" customHeight="1" x14ac:dyDescent="0.2">
      <c r="A56" s="86" t="s">
        <v>150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19</v>
      </c>
      <c r="J56" s="39"/>
      <c r="K56" s="39"/>
      <c r="L56" s="36"/>
      <c r="M56" s="36"/>
      <c r="N56" s="36"/>
      <c r="O56" s="36"/>
      <c r="P56" s="36"/>
      <c r="Q56" s="36"/>
      <c r="R56" s="36"/>
    </row>
    <row r="57" spans="1:18" s="7" customFormat="1" ht="12.75" hidden="1" customHeight="1" x14ac:dyDescent="0.2">
      <c r="A57" s="86" t="s">
        <v>151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82</v>
      </c>
      <c r="J57" s="39"/>
      <c r="K57" s="39"/>
      <c r="L57" s="36"/>
      <c r="M57" s="36"/>
      <c r="N57" s="36"/>
      <c r="O57" s="36"/>
      <c r="P57" s="36"/>
      <c r="Q57" s="36"/>
      <c r="R57" s="36"/>
    </row>
    <row r="58" spans="1:18" s="7" customFormat="1" ht="12.75" customHeight="1" x14ac:dyDescent="0.2">
      <c r="A58" s="86" t="s">
        <v>88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4" t="s">
        <v>60</v>
      </c>
      <c r="J58" s="39">
        <v>194185</v>
      </c>
      <c r="K58" s="39"/>
      <c r="L58" s="36"/>
      <c r="M58" s="36"/>
      <c r="N58" s="36">
        <f t="shared" ref="N58:N115" si="3">P58-L58</f>
        <v>500000</v>
      </c>
      <c r="O58" s="36"/>
      <c r="P58" s="36">
        <v>500000</v>
      </c>
      <c r="Q58" s="36"/>
      <c r="R58" s="36">
        <v>1000000</v>
      </c>
    </row>
    <row r="59" spans="1:18" s="7" customFormat="1" ht="12.75" customHeight="1" x14ac:dyDescent="0.2">
      <c r="A59" s="86" t="s">
        <v>44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45</v>
      </c>
      <c r="J59" s="39">
        <v>82450.240000000005</v>
      </c>
      <c r="K59" s="39"/>
      <c r="L59" s="36">
        <v>18610</v>
      </c>
      <c r="M59" s="36"/>
      <c r="N59" s="36">
        <f t="shared" si="3"/>
        <v>455390</v>
      </c>
      <c r="O59" s="36"/>
      <c r="P59" s="36">
        <v>474000</v>
      </c>
      <c r="Q59" s="36"/>
      <c r="R59" s="36">
        <v>390000</v>
      </c>
    </row>
    <row r="60" spans="1:18" s="7" customFormat="1" ht="12.75" hidden="1" customHeight="1" x14ac:dyDescent="0.2">
      <c r="A60" s="86" t="s">
        <v>152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102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46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47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154</v>
      </c>
      <c r="B62" s="111"/>
      <c r="C62" s="111"/>
      <c r="E62" s="112">
        <v>5</v>
      </c>
      <c r="F62" s="113" t="s">
        <v>12</v>
      </c>
      <c r="G62" s="112" t="s">
        <v>29</v>
      </c>
      <c r="H62" s="112" t="s">
        <v>15</v>
      </c>
      <c r="J62" s="36"/>
      <c r="K62" s="36"/>
      <c r="L62" s="36"/>
      <c r="M62" s="36"/>
      <c r="N62" s="36">
        <f t="shared" si="3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51</v>
      </c>
      <c r="B63" s="111"/>
      <c r="C63" s="111"/>
      <c r="D63" s="112"/>
      <c r="E63" s="112">
        <v>5</v>
      </c>
      <c r="F63" s="113" t="s">
        <v>12</v>
      </c>
      <c r="G63" s="112" t="s">
        <v>29</v>
      </c>
      <c r="H63" s="112" t="s">
        <v>24</v>
      </c>
      <c r="J63" s="36"/>
      <c r="K63" s="36"/>
      <c r="L63" s="36"/>
      <c r="M63" s="36"/>
      <c r="N63" s="36">
        <f t="shared" si="3"/>
        <v>0</v>
      </c>
      <c r="O63" s="36"/>
      <c r="P63" s="36"/>
      <c r="Q63" s="36"/>
      <c r="R63" s="36"/>
    </row>
    <row r="64" spans="1:18" s="7" customFormat="1" ht="12.75" customHeight="1" x14ac:dyDescent="0.2">
      <c r="A64" s="86" t="s">
        <v>66</v>
      </c>
      <c r="B64" s="111"/>
      <c r="C64" s="111"/>
      <c r="E64" s="32">
        <v>5</v>
      </c>
      <c r="F64" s="143" t="s">
        <v>12</v>
      </c>
      <c r="G64" s="32" t="s">
        <v>67</v>
      </c>
      <c r="H64" s="32" t="s">
        <v>8</v>
      </c>
      <c r="J64" s="36">
        <v>166400</v>
      </c>
      <c r="K64" s="36"/>
      <c r="L64" s="36"/>
      <c r="M64" s="36"/>
      <c r="N64" s="36">
        <f t="shared" si="3"/>
        <v>335000</v>
      </c>
      <c r="O64" s="36"/>
      <c r="P64" s="36">
        <v>335000</v>
      </c>
      <c r="Q64" s="36"/>
      <c r="R64" s="36">
        <v>966000</v>
      </c>
    </row>
    <row r="65" spans="1:18" s="7" customFormat="1" ht="12.75" hidden="1" customHeight="1" x14ac:dyDescent="0.2">
      <c r="A65" s="86" t="s">
        <v>52</v>
      </c>
      <c r="B65" s="111"/>
      <c r="C65" s="111"/>
      <c r="D65" s="112"/>
      <c r="E65" s="112">
        <v>5</v>
      </c>
      <c r="F65" s="113" t="s">
        <v>12</v>
      </c>
      <c r="G65" s="112" t="s">
        <v>34</v>
      </c>
      <c r="H65" s="112" t="s">
        <v>10</v>
      </c>
      <c r="J65" s="36"/>
      <c r="K65" s="36"/>
      <c r="L65" s="36"/>
      <c r="M65" s="36"/>
      <c r="N65" s="36">
        <f t="shared" si="3"/>
        <v>0</v>
      </c>
      <c r="O65" s="36"/>
      <c r="P65" s="36"/>
      <c r="Q65" s="36"/>
      <c r="R65" s="36"/>
    </row>
    <row r="66" spans="1:18" s="7" customFormat="1" ht="12.75" customHeight="1" x14ac:dyDescent="0.2">
      <c r="A66" s="86" t="s">
        <v>48</v>
      </c>
      <c r="B66" s="111"/>
      <c r="C66" s="111"/>
      <c r="D66" s="112"/>
      <c r="E66" s="112">
        <v>5</v>
      </c>
      <c r="F66" s="113" t="s">
        <v>12</v>
      </c>
      <c r="G66" s="112" t="s">
        <v>29</v>
      </c>
      <c r="H66" s="114" t="s">
        <v>49</v>
      </c>
      <c r="J66" s="36">
        <v>498881.25</v>
      </c>
      <c r="K66" s="36"/>
      <c r="L66" s="36">
        <v>442882.5</v>
      </c>
      <c r="M66" s="36"/>
      <c r="N66" s="36">
        <f t="shared" ref="N66" si="4">P66-L66</f>
        <v>1873117.5</v>
      </c>
      <c r="O66" s="36"/>
      <c r="P66" s="36">
        <v>2316000</v>
      </c>
      <c r="Q66" s="36"/>
      <c r="R66" s="36">
        <v>2350000</v>
      </c>
    </row>
    <row r="67" spans="1:18" s="7" customFormat="1" ht="12.75" hidden="1" customHeight="1" x14ac:dyDescent="0.2">
      <c r="A67" s="86" t="s">
        <v>53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8</v>
      </c>
      <c r="J67" s="36"/>
      <c r="K67" s="36"/>
      <c r="L67" s="36"/>
      <c r="M67" s="36"/>
      <c r="N67" s="36">
        <f t="shared" si="3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55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10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56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15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57</v>
      </c>
      <c r="B70" s="111"/>
      <c r="C70" s="111"/>
      <c r="E70" s="112">
        <v>5</v>
      </c>
      <c r="F70" s="113" t="s">
        <v>12</v>
      </c>
      <c r="G70" s="112" t="s">
        <v>54</v>
      </c>
      <c r="H70" s="112" t="s">
        <v>17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customHeight="1" x14ac:dyDescent="0.2">
      <c r="A71" s="86" t="s">
        <v>68</v>
      </c>
      <c r="B71" s="111"/>
      <c r="C71" s="111"/>
      <c r="E71" s="32">
        <v>5</v>
      </c>
      <c r="F71" s="143" t="s">
        <v>12</v>
      </c>
      <c r="G71" s="32" t="s">
        <v>67</v>
      </c>
      <c r="H71" s="32" t="s">
        <v>10</v>
      </c>
      <c r="J71" s="36">
        <v>272000</v>
      </c>
      <c r="K71" s="36"/>
      <c r="L71" s="36"/>
      <c r="M71" s="36"/>
      <c r="N71" s="36">
        <f t="shared" si="3"/>
        <v>473000</v>
      </c>
      <c r="O71" s="36"/>
      <c r="P71" s="36">
        <v>473000</v>
      </c>
      <c r="Q71" s="36"/>
      <c r="R71" s="36">
        <v>280000</v>
      </c>
    </row>
    <row r="72" spans="1:18" s="7" customFormat="1" ht="12.75" hidden="1" customHeight="1" x14ac:dyDescent="0.2">
      <c r="A72" s="86" t="s">
        <v>66</v>
      </c>
      <c r="B72" s="111"/>
      <c r="C72" s="111"/>
      <c r="E72" s="112">
        <v>5</v>
      </c>
      <c r="F72" s="113" t="s">
        <v>12</v>
      </c>
      <c r="G72" s="112" t="s">
        <v>67</v>
      </c>
      <c r="H72" s="112" t="s">
        <v>8</v>
      </c>
      <c r="J72" s="36"/>
      <c r="K72" s="36"/>
      <c r="L72" s="36"/>
      <c r="M72" s="36"/>
      <c r="N72" s="36">
        <f t="shared" si="3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61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8</v>
      </c>
      <c r="J73" s="36"/>
      <c r="K73" s="36"/>
      <c r="L73" s="36"/>
      <c r="M73" s="36"/>
      <c r="N73" s="36">
        <f t="shared" si="3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62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10</v>
      </c>
      <c r="J74" s="36"/>
      <c r="K74" s="36"/>
      <c r="L74" s="36"/>
      <c r="M74" s="36"/>
      <c r="N74" s="36"/>
      <c r="O74" s="36"/>
      <c r="P74" s="36"/>
      <c r="Q74" s="36"/>
      <c r="R74" s="36"/>
    </row>
    <row r="75" spans="1:18" s="7" customFormat="1" ht="12.75" hidden="1" customHeight="1" x14ac:dyDescent="0.2">
      <c r="A75" s="86" t="s">
        <v>63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64</v>
      </c>
      <c r="J75" s="36"/>
      <c r="K75" s="36"/>
      <c r="L75" s="36"/>
      <c r="M75" s="36"/>
      <c r="N75" s="36">
        <f t="shared" si="3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155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15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156</v>
      </c>
      <c r="B77" s="111"/>
      <c r="C77" s="111"/>
      <c r="E77" s="112">
        <v>5</v>
      </c>
      <c r="F77" s="112" t="s">
        <v>12</v>
      </c>
      <c r="G77" s="112" t="s">
        <v>59</v>
      </c>
      <c r="H77" s="112" t="s">
        <v>17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63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64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65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19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157</v>
      </c>
      <c r="B80" s="111"/>
      <c r="C80" s="111"/>
      <c r="E80" s="112">
        <v>5</v>
      </c>
      <c r="F80" s="113" t="s">
        <v>12</v>
      </c>
      <c r="G80" s="112" t="s">
        <v>93</v>
      </c>
      <c r="H80" s="112" t="s">
        <v>8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66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8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68</v>
      </c>
      <c r="B82" s="111"/>
      <c r="C82" s="111"/>
      <c r="E82" s="112">
        <v>5</v>
      </c>
      <c r="F82" s="113" t="s">
        <v>12</v>
      </c>
      <c r="G82" s="112" t="s">
        <v>67</v>
      </c>
      <c r="H82" s="112" t="s">
        <v>10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158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8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159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10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69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15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160</v>
      </c>
      <c r="B86" s="111"/>
      <c r="C86" s="111"/>
      <c r="E86" s="112">
        <v>5</v>
      </c>
      <c r="F86" s="113" t="s">
        <v>12</v>
      </c>
      <c r="G86" s="112" t="s">
        <v>163</v>
      </c>
      <c r="H86" s="112" t="s">
        <v>8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2" t="s">
        <v>163</v>
      </c>
      <c r="H87" s="114" t="s">
        <v>49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71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10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162</v>
      </c>
      <c r="B89" s="111"/>
      <c r="C89" s="111"/>
      <c r="E89" s="112">
        <v>5</v>
      </c>
      <c r="F89" s="113" t="s">
        <v>12</v>
      </c>
      <c r="G89" s="112" t="s">
        <v>163</v>
      </c>
      <c r="H89" s="112" t="s">
        <v>15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72</v>
      </c>
      <c r="B90" s="111"/>
      <c r="C90" s="111"/>
      <c r="E90" s="112">
        <v>5</v>
      </c>
      <c r="F90" s="113" t="s">
        <v>12</v>
      </c>
      <c r="G90" s="112" t="s">
        <v>70</v>
      </c>
      <c r="H90" s="112" t="s">
        <v>49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164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10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165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15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166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17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167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8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168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45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73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64</v>
      </c>
      <c r="J96" s="36">
        <v>0</v>
      </c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75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19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76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60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77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49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165</v>
      </c>
      <c r="B100" s="111"/>
      <c r="C100" s="111"/>
      <c r="E100" s="112">
        <v>5</v>
      </c>
      <c r="F100" s="113" t="s">
        <v>12</v>
      </c>
      <c r="G100" s="112" t="s">
        <v>74</v>
      </c>
      <c r="H100" s="112" t="s">
        <v>15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customHeight="1" x14ac:dyDescent="0.2">
      <c r="A101" s="86" t="s">
        <v>284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10</v>
      </c>
      <c r="J101" s="36">
        <v>193372.53</v>
      </c>
      <c r="K101" s="36"/>
      <c r="L101" s="36">
        <v>89320.3</v>
      </c>
      <c r="M101" s="36"/>
      <c r="N101" s="36">
        <f t="shared" si="3"/>
        <v>540679.69999999995</v>
      </c>
      <c r="O101" s="36"/>
      <c r="P101" s="36">
        <v>630000</v>
      </c>
      <c r="Q101" s="36"/>
      <c r="R101" s="36">
        <v>480000</v>
      </c>
    </row>
    <row r="102" spans="1:18" s="7" customFormat="1" ht="12.75" customHeight="1" x14ac:dyDescent="0.2">
      <c r="A102" s="86" t="s">
        <v>80</v>
      </c>
      <c r="B102" s="111"/>
      <c r="C102" s="111"/>
      <c r="E102" s="112">
        <v>5</v>
      </c>
      <c r="F102" s="113" t="s">
        <v>12</v>
      </c>
      <c r="G102" s="112" t="s">
        <v>79</v>
      </c>
      <c r="H102" s="112" t="s">
        <v>15</v>
      </c>
      <c r="J102" s="36"/>
      <c r="K102" s="36"/>
      <c r="L102" s="36"/>
      <c r="M102" s="36"/>
      <c r="N102" s="36">
        <f t="shared" si="3"/>
        <v>600000</v>
      </c>
      <c r="O102" s="36"/>
      <c r="P102" s="36">
        <v>600000</v>
      </c>
      <c r="Q102" s="36"/>
      <c r="R102" s="36">
        <v>1750000</v>
      </c>
    </row>
    <row r="103" spans="1:18" s="7" customFormat="1" ht="12.75" hidden="1" customHeight="1" x14ac:dyDescent="0.2">
      <c r="A103" s="86" t="s">
        <v>169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60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170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19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171</v>
      </c>
      <c r="B105" s="111"/>
      <c r="C105" s="111"/>
      <c r="E105" s="112">
        <v>5</v>
      </c>
      <c r="F105" s="113" t="s">
        <v>12</v>
      </c>
      <c r="G105" s="112" t="s">
        <v>79</v>
      </c>
      <c r="H105" s="113" t="s">
        <v>82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270</v>
      </c>
      <c r="B106" s="111"/>
      <c r="C106" s="111"/>
      <c r="E106" s="112">
        <v>5</v>
      </c>
      <c r="F106" s="113" t="s">
        <v>12</v>
      </c>
      <c r="G106" s="112" t="s">
        <v>79</v>
      </c>
      <c r="H106" s="134">
        <v>990</v>
      </c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83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8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85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10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86</v>
      </c>
      <c r="B109" s="111"/>
      <c r="C109" s="111"/>
      <c r="E109" s="112">
        <v>5</v>
      </c>
      <c r="F109" s="113" t="s">
        <v>12</v>
      </c>
      <c r="G109" s="112" t="s">
        <v>84</v>
      </c>
      <c r="H109" s="113" t="s">
        <v>15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172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8</v>
      </c>
      <c r="J110" s="36"/>
      <c r="K110" s="36"/>
      <c r="L110" s="36"/>
      <c r="M110" s="36"/>
      <c r="N110" s="36">
        <f t="shared" si="3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173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10</v>
      </c>
      <c r="J111" s="36"/>
      <c r="K111" s="36"/>
      <c r="L111" s="36"/>
      <c r="M111" s="36"/>
      <c r="N111" s="36">
        <f t="shared" si="3"/>
        <v>0</v>
      </c>
      <c r="O111" s="36"/>
      <c r="P111" s="36"/>
      <c r="Q111" s="36"/>
      <c r="R111" s="36"/>
    </row>
    <row r="112" spans="1:18" s="7" customFormat="1" ht="12.75" hidden="1" customHeight="1" x14ac:dyDescent="0.2">
      <c r="A112" s="86" t="s">
        <v>87</v>
      </c>
      <c r="B112" s="111"/>
      <c r="C112" s="111"/>
      <c r="E112" s="112">
        <v>5</v>
      </c>
      <c r="F112" s="113" t="s">
        <v>12</v>
      </c>
      <c r="G112" s="112" t="s">
        <v>174</v>
      </c>
      <c r="H112" s="113" t="s">
        <v>15</v>
      </c>
      <c r="J112" s="36"/>
      <c r="K112" s="36"/>
      <c r="L112" s="36"/>
      <c r="M112" s="36"/>
      <c r="N112" s="36">
        <f t="shared" si="3"/>
        <v>0</v>
      </c>
      <c r="O112" s="36"/>
      <c r="P112" s="36"/>
      <c r="Q112" s="36"/>
      <c r="R112" s="36"/>
    </row>
    <row r="113" spans="1:18" s="7" customFormat="1" ht="12.75" customHeight="1" x14ac:dyDescent="0.2">
      <c r="A113" s="86" t="s">
        <v>62</v>
      </c>
      <c r="B113" s="111"/>
      <c r="C113" s="111"/>
      <c r="E113" s="112">
        <v>5</v>
      </c>
      <c r="F113" s="113" t="s">
        <v>12</v>
      </c>
      <c r="G113" s="114" t="s">
        <v>59</v>
      </c>
      <c r="H113" s="114" t="s">
        <v>10</v>
      </c>
      <c r="J113" s="36"/>
      <c r="K113" s="36"/>
      <c r="L113" s="36"/>
      <c r="M113" s="36"/>
      <c r="N113" s="36">
        <f t="shared" ref="N113" si="5">P113-L113</f>
        <v>1000000</v>
      </c>
      <c r="O113" s="36"/>
      <c r="P113" s="36">
        <v>1000000</v>
      </c>
      <c r="Q113" s="36"/>
      <c r="R113" s="36">
        <v>1000000</v>
      </c>
    </row>
    <row r="114" spans="1:18" s="7" customFormat="1" ht="12.75" customHeight="1" x14ac:dyDescent="0.2">
      <c r="A114" s="86" t="s">
        <v>81</v>
      </c>
      <c r="B114" s="111"/>
      <c r="C114" s="111"/>
      <c r="E114" s="112">
        <v>5</v>
      </c>
      <c r="F114" s="113" t="s">
        <v>12</v>
      </c>
      <c r="G114" s="112" t="s">
        <v>59</v>
      </c>
      <c r="H114" s="113" t="s">
        <v>82</v>
      </c>
      <c r="J114" s="36">
        <v>23986000</v>
      </c>
      <c r="K114" s="36"/>
      <c r="L114" s="36">
        <v>4559000</v>
      </c>
      <c r="M114" s="36"/>
      <c r="N114" s="36">
        <f t="shared" si="3"/>
        <v>20113000</v>
      </c>
      <c r="O114" s="36"/>
      <c r="P114" s="36">
        <v>24672000</v>
      </c>
      <c r="Q114" s="36"/>
      <c r="R114" s="36">
        <v>23750000</v>
      </c>
    </row>
    <row r="115" spans="1:18" s="7" customFormat="1" ht="12.75" customHeight="1" x14ac:dyDescent="0.2">
      <c r="A115" s="86" t="s">
        <v>260</v>
      </c>
      <c r="B115" s="111"/>
      <c r="C115" s="111"/>
      <c r="E115" s="112">
        <v>5</v>
      </c>
      <c r="F115" s="113" t="s">
        <v>12</v>
      </c>
      <c r="G115" s="134">
        <v>99</v>
      </c>
      <c r="H115" s="135">
        <v>990</v>
      </c>
      <c r="J115" s="36">
        <v>1261597</v>
      </c>
      <c r="K115" s="36"/>
      <c r="L115" s="36">
        <v>516795</v>
      </c>
      <c r="M115" s="36"/>
      <c r="N115" s="36">
        <f t="shared" si="3"/>
        <v>4660725</v>
      </c>
      <c r="O115" s="36"/>
      <c r="P115" s="36">
        <v>5177520</v>
      </c>
      <c r="Q115" s="36"/>
      <c r="R115" s="36">
        <v>7078800</v>
      </c>
    </row>
    <row r="116" spans="1:18" s="7" customFormat="1" ht="18.95" customHeight="1" x14ac:dyDescent="0.2">
      <c r="A116" s="323" t="s">
        <v>191</v>
      </c>
      <c r="B116" s="323"/>
      <c r="C116" s="323"/>
      <c r="J116" s="161">
        <f>SUM(J47:J115)</f>
        <v>27945569.27</v>
      </c>
      <c r="K116" s="162"/>
      <c r="L116" s="161">
        <f>SUM(L47:L115)</f>
        <v>6403707.2000000002</v>
      </c>
      <c r="M116" s="36"/>
      <c r="N116" s="161">
        <f>SUM(N47:N115)</f>
        <v>37871612.799999997</v>
      </c>
      <c r="O116" s="36"/>
      <c r="P116" s="161">
        <f>SUM(P47:P115)</f>
        <v>44275320</v>
      </c>
      <c r="Q116" s="36"/>
      <c r="R116" s="161">
        <f>SUM(R47:R115)</f>
        <v>47007000</v>
      </c>
    </row>
    <row r="117" spans="1:18" s="7" customFormat="1" ht="6" hidden="1" customHeight="1" x14ac:dyDescent="0.2">
      <c r="A117" s="20"/>
      <c r="B117" s="20"/>
      <c r="C117" s="20"/>
      <c r="J117" s="18"/>
      <c r="K117" s="18"/>
    </row>
    <row r="118" spans="1:18" s="7" customFormat="1" ht="12" hidden="1" customHeight="1" x14ac:dyDescent="0.2">
      <c r="A118" s="69" t="s">
        <v>189</v>
      </c>
    </row>
    <row r="119" spans="1:18" s="7" customFormat="1" ht="12" hidden="1" customHeight="1" x14ac:dyDescent="0.2">
      <c r="A119" s="86" t="s">
        <v>109</v>
      </c>
      <c r="E119" s="112">
        <v>5</v>
      </c>
      <c r="F119" s="113" t="s">
        <v>29</v>
      </c>
      <c r="G119" s="112" t="s">
        <v>7</v>
      </c>
      <c r="H119" s="112" t="s">
        <v>17</v>
      </c>
    </row>
    <row r="120" spans="1:18" s="7" customFormat="1" ht="12" hidden="1" customHeight="1" x14ac:dyDescent="0.2">
      <c r="A120" s="86" t="s">
        <v>180</v>
      </c>
      <c r="E120" s="112">
        <v>5</v>
      </c>
      <c r="F120" s="113" t="s">
        <v>29</v>
      </c>
      <c r="G120" s="112" t="s">
        <v>7</v>
      </c>
      <c r="H120" s="112" t="s">
        <v>64</v>
      </c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</row>
    <row r="122" spans="1:18" s="7" customFormat="1" ht="12" hidden="1" customHeight="1" x14ac:dyDescent="0.2">
      <c r="A122" s="86" t="s">
        <v>181</v>
      </c>
      <c r="E122" s="112">
        <v>5</v>
      </c>
      <c r="F122" s="113" t="s">
        <v>29</v>
      </c>
      <c r="G122" s="112" t="s">
        <v>7</v>
      </c>
      <c r="H122" s="114" t="s">
        <v>49</v>
      </c>
    </row>
    <row r="123" spans="1:18" s="7" customFormat="1" ht="12" hidden="1" customHeight="1" x14ac:dyDescent="0.2">
      <c r="A123" s="86" t="s">
        <v>182</v>
      </c>
      <c r="E123" s="112">
        <v>5</v>
      </c>
      <c r="F123" s="113" t="s">
        <v>29</v>
      </c>
      <c r="G123" s="112" t="s">
        <v>7</v>
      </c>
      <c r="H123" s="112" t="s">
        <v>10</v>
      </c>
    </row>
    <row r="124" spans="1:18" s="7" customFormat="1" ht="12" hidden="1" customHeight="1" x14ac:dyDescent="0.2">
      <c r="A124" s="86" t="s">
        <v>181</v>
      </c>
      <c r="E124" s="112">
        <v>5</v>
      </c>
      <c r="F124" s="113" t="s">
        <v>29</v>
      </c>
      <c r="G124" s="112" t="s">
        <v>7</v>
      </c>
      <c r="H124" s="114" t="s">
        <v>49</v>
      </c>
    </row>
    <row r="125" spans="1:18" s="7" customFormat="1" ht="12" hidden="1" customHeight="1" x14ac:dyDescent="0.2">
      <c r="A125" s="86" t="s">
        <v>183</v>
      </c>
      <c r="E125" s="112">
        <v>5</v>
      </c>
      <c r="F125" s="113" t="s">
        <v>29</v>
      </c>
      <c r="G125" s="112" t="s">
        <v>7</v>
      </c>
      <c r="H125" s="112" t="s">
        <v>8</v>
      </c>
    </row>
    <row r="126" spans="1:18" s="7" customFormat="1" ht="12" hidden="1" customHeight="1" x14ac:dyDescent="0.2">
      <c r="A126" s="86" t="s">
        <v>184</v>
      </c>
      <c r="E126" s="112">
        <v>5</v>
      </c>
      <c r="F126" s="113" t="s">
        <v>29</v>
      </c>
      <c r="G126" s="112" t="s">
        <v>7</v>
      </c>
      <c r="H126" s="112" t="s">
        <v>15</v>
      </c>
    </row>
    <row r="127" spans="1:18" s="7" customFormat="1" ht="18.95" hidden="1" customHeight="1" x14ac:dyDescent="0.2">
      <c r="A127" s="63" t="s">
        <v>185</v>
      </c>
      <c r="J127" s="64">
        <f>SUM(J119:J126)</f>
        <v>0</v>
      </c>
      <c r="K127" s="27"/>
      <c r="L127" s="64">
        <f>SUM(L119:L126)</f>
        <v>0</v>
      </c>
      <c r="M127" s="27"/>
      <c r="N127" s="64">
        <f>SUM(N119:N126)</f>
        <v>0</v>
      </c>
      <c r="O127" s="27"/>
      <c r="P127" s="64">
        <f>SUM(P119:P126)</f>
        <v>0</v>
      </c>
      <c r="Q127" s="27"/>
      <c r="R127" s="64">
        <f>SUM(R119:R126)</f>
        <v>0</v>
      </c>
    </row>
    <row r="128" spans="1:18" s="7" customFormat="1" ht="6" customHeight="1" x14ac:dyDescent="0.2"/>
    <row r="129" spans="1:8" s="7" customFormat="1" ht="12.75" hidden="1" customHeight="1" x14ac:dyDescent="0.2">
      <c r="A129" s="68" t="s">
        <v>190</v>
      </c>
      <c r="B129" s="11"/>
      <c r="C129" s="11"/>
    </row>
    <row r="130" spans="1:8" s="7" customFormat="1" ht="12.75" hidden="1" customHeight="1" x14ac:dyDescent="0.2">
      <c r="A130" s="11" t="s">
        <v>89</v>
      </c>
      <c r="B130" s="24"/>
      <c r="C130" s="24"/>
    </row>
    <row r="131" spans="1:8" s="7" customFormat="1" ht="12.75" hidden="1" customHeight="1" x14ac:dyDescent="0.2">
      <c r="A131" s="70" t="s">
        <v>90</v>
      </c>
      <c r="B131" s="9"/>
      <c r="C131" s="9"/>
      <c r="E131" s="112">
        <v>1</v>
      </c>
      <c r="F131" s="113" t="s">
        <v>12</v>
      </c>
      <c r="G131" s="112" t="s">
        <v>54</v>
      </c>
      <c r="H131" s="114" t="s">
        <v>10</v>
      </c>
    </row>
    <row r="132" spans="1:8" s="7" customFormat="1" ht="12.75" hidden="1" customHeight="1" x14ac:dyDescent="0.2">
      <c r="A132" s="86" t="s">
        <v>92</v>
      </c>
      <c r="B132" s="111"/>
      <c r="C132" s="111"/>
      <c r="E132" s="112">
        <v>1</v>
      </c>
      <c r="F132" s="113" t="s">
        <v>93</v>
      </c>
      <c r="G132" s="112" t="s">
        <v>7</v>
      </c>
      <c r="H132" s="112" t="s">
        <v>8</v>
      </c>
    </row>
    <row r="133" spans="1:8" s="7" customFormat="1" ht="12.75" hidden="1" customHeight="1" x14ac:dyDescent="0.2">
      <c r="A133" s="86" t="s">
        <v>94</v>
      </c>
      <c r="B133" s="111"/>
      <c r="C133" s="111"/>
      <c r="E133" s="112">
        <v>1</v>
      </c>
      <c r="F133" s="113" t="s">
        <v>93</v>
      </c>
      <c r="G133" s="112" t="s">
        <v>34</v>
      </c>
      <c r="H133" s="112" t="s">
        <v>8</v>
      </c>
    </row>
    <row r="134" spans="1:8" s="7" customFormat="1" ht="12.75" hidden="1" customHeight="1" x14ac:dyDescent="0.2">
      <c r="A134" s="86" t="s">
        <v>95</v>
      </c>
      <c r="B134" s="116"/>
      <c r="C134" s="116"/>
      <c r="E134" s="112">
        <v>1</v>
      </c>
      <c r="F134" s="113" t="s">
        <v>93</v>
      </c>
      <c r="G134" s="112" t="s">
        <v>34</v>
      </c>
      <c r="H134" s="112" t="s">
        <v>49</v>
      </c>
    </row>
    <row r="135" spans="1:8" s="7" customFormat="1" ht="12.75" hidden="1" customHeight="1" x14ac:dyDescent="0.2">
      <c r="A135" s="86" t="s">
        <v>96</v>
      </c>
      <c r="B135" s="116"/>
      <c r="C135" s="116"/>
      <c r="D135" s="113"/>
      <c r="E135" s="112">
        <v>1</v>
      </c>
      <c r="F135" s="113" t="s">
        <v>93</v>
      </c>
      <c r="G135" s="112" t="s">
        <v>54</v>
      </c>
      <c r="H135" s="112" t="s">
        <v>10</v>
      </c>
    </row>
    <row r="136" spans="1: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</row>
    <row r="137" spans="1:8" s="7" customFormat="1" ht="12.75" hidden="1" customHeight="1" x14ac:dyDescent="0.2">
      <c r="A137" s="86" t="s">
        <v>103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24</v>
      </c>
    </row>
    <row r="138" spans="1:8" s="7" customFormat="1" ht="6" hidden="1" customHeight="1" x14ac:dyDescent="0.2">
      <c r="A138" s="86"/>
      <c r="B138" s="111"/>
      <c r="C138" s="111"/>
      <c r="E138" s="112"/>
      <c r="F138" s="113"/>
      <c r="G138" s="112"/>
      <c r="H138" s="112"/>
    </row>
    <row r="139" spans="1:8" s="7" customFormat="1" ht="12.75" hidden="1" customHeight="1" x14ac:dyDescent="0.2">
      <c r="A139" s="86" t="s">
        <v>280</v>
      </c>
      <c r="B139" s="111"/>
      <c r="C139" s="111"/>
      <c r="D139" s="113"/>
      <c r="E139" s="112">
        <v>1</v>
      </c>
      <c r="F139" s="113" t="s">
        <v>93</v>
      </c>
      <c r="G139" s="112" t="s">
        <v>54</v>
      </c>
      <c r="H139" s="112" t="s">
        <v>45</v>
      </c>
    </row>
    <row r="140" spans="1:8" s="7" customFormat="1" ht="12.75" hidden="1" customHeight="1" x14ac:dyDescent="0.2">
      <c r="A140" s="86" t="s">
        <v>105</v>
      </c>
      <c r="B140" s="111"/>
      <c r="C140" s="111"/>
      <c r="D140" s="113"/>
      <c r="E140" s="112">
        <v>1</v>
      </c>
      <c r="F140" s="113" t="s">
        <v>93</v>
      </c>
      <c r="G140" s="112" t="s">
        <v>54</v>
      </c>
      <c r="H140" s="114" t="s">
        <v>49</v>
      </c>
    </row>
    <row r="141" spans="1:8" s="7" customFormat="1" ht="12.75" hidden="1" customHeight="1" x14ac:dyDescent="0.2">
      <c r="A141" s="86" t="s">
        <v>175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82</v>
      </c>
    </row>
    <row r="142" spans="1:8" s="7" customFormat="1" ht="12.75" hidden="1" customHeight="1" x14ac:dyDescent="0.2">
      <c r="A142" s="86" t="s">
        <v>176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45</v>
      </c>
    </row>
    <row r="143" spans="1:8" s="7" customFormat="1" ht="12.75" hidden="1" customHeight="1" x14ac:dyDescent="0.2">
      <c r="A143" s="86" t="s">
        <v>177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146</v>
      </c>
    </row>
    <row r="144" spans="1:8" s="7" customFormat="1" ht="12.75" hidden="1" customHeight="1" x14ac:dyDescent="0.2">
      <c r="A144" s="86" t="s">
        <v>101</v>
      </c>
      <c r="B144" s="111"/>
      <c r="C144" s="111"/>
      <c r="E144" s="112">
        <v>1</v>
      </c>
      <c r="F144" s="113" t="s">
        <v>93</v>
      </c>
      <c r="G144" s="112" t="s">
        <v>54</v>
      </c>
      <c r="H144" s="112" t="s">
        <v>102</v>
      </c>
    </row>
    <row r="145" spans="1:18" s="7" customFormat="1" ht="12.75" hidden="1" customHeight="1" x14ac:dyDescent="0.2">
      <c r="A145" s="86" t="s">
        <v>104</v>
      </c>
      <c r="B145" s="111"/>
      <c r="C145" s="111"/>
      <c r="E145" s="112">
        <v>1</v>
      </c>
      <c r="F145" s="113" t="s">
        <v>93</v>
      </c>
      <c r="G145" s="112" t="s">
        <v>54</v>
      </c>
      <c r="H145" s="112" t="s">
        <v>28</v>
      </c>
    </row>
    <row r="146" spans="1:18" s="7" customFormat="1" ht="12.75" hidden="1" customHeight="1" x14ac:dyDescent="0.2">
      <c r="A146" s="86" t="s">
        <v>105</v>
      </c>
      <c r="B146" s="111"/>
      <c r="C146" s="111"/>
      <c r="D146" s="113"/>
      <c r="E146" s="112">
        <v>1</v>
      </c>
      <c r="F146" s="113" t="s">
        <v>93</v>
      </c>
      <c r="G146" s="112" t="s">
        <v>54</v>
      </c>
      <c r="H146" s="114" t="s">
        <v>49</v>
      </c>
    </row>
    <row r="147" spans="1:18" s="7" customFormat="1" ht="12.75" hidden="1" customHeight="1" x14ac:dyDescent="0.2">
      <c r="A147" s="86" t="s">
        <v>106</v>
      </c>
      <c r="B147" s="111"/>
      <c r="C147" s="111"/>
      <c r="D147" s="113"/>
      <c r="E147" s="112">
        <v>1</v>
      </c>
      <c r="F147" s="113" t="s">
        <v>93</v>
      </c>
      <c r="G147" s="112" t="s">
        <v>67</v>
      </c>
      <c r="H147" s="112" t="s">
        <v>8</v>
      </c>
    </row>
    <row r="148" spans="1:18" s="7" customFormat="1" ht="12.75" hidden="1" customHeight="1" x14ac:dyDescent="0.2">
      <c r="A148" s="86" t="s">
        <v>97</v>
      </c>
      <c r="B148" s="111"/>
      <c r="C148" s="111"/>
      <c r="E148" s="112">
        <v>1</v>
      </c>
      <c r="F148" s="113" t="s">
        <v>93</v>
      </c>
      <c r="G148" s="112" t="s">
        <v>93</v>
      </c>
      <c r="H148" s="112" t="s">
        <v>8</v>
      </c>
    </row>
    <row r="149" spans="1:18" s="7" customFormat="1" ht="12.75" hidden="1" customHeight="1" x14ac:dyDescent="0.2">
      <c r="A149" s="86" t="s">
        <v>107</v>
      </c>
      <c r="B149" s="111"/>
      <c r="C149" s="111"/>
      <c r="D149" s="113"/>
      <c r="E149" s="112">
        <v>1</v>
      </c>
      <c r="F149" s="113" t="s">
        <v>93</v>
      </c>
      <c r="G149" s="112" t="s">
        <v>59</v>
      </c>
      <c r="H149" s="114" t="s">
        <v>49</v>
      </c>
    </row>
    <row r="150" spans="1:18" s="7" customFormat="1" ht="12.75" hidden="1" customHeight="1" x14ac:dyDescent="0.2">
      <c r="A150" s="86" t="s">
        <v>178</v>
      </c>
      <c r="B150" s="111"/>
      <c r="C150" s="111"/>
      <c r="D150" s="113"/>
      <c r="E150" s="112">
        <v>1</v>
      </c>
      <c r="F150" s="113" t="s">
        <v>93</v>
      </c>
      <c r="G150" s="112" t="s">
        <v>29</v>
      </c>
      <c r="H150" s="112" t="s">
        <v>8</v>
      </c>
    </row>
    <row r="151" spans="1:18" s="7" customFormat="1" ht="12.75" hidden="1" customHeight="1" x14ac:dyDescent="0.2">
      <c r="A151" s="86" t="s">
        <v>179</v>
      </c>
      <c r="B151" s="111"/>
      <c r="C151" s="111"/>
      <c r="D151" s="113"/>
      <c r="E151" s="112">
        <v>1</v>
      </c>
      <c r="F151" s="113" t="s">
        <v>93</v>
      </c>
      <c r="G151" s="112" t="s">
        <v>29</v>
      </c>
      <c r="H151" s="112" t="s">
        <v>45</v>
      </c>
    </row>
    <row r="152" spans="1:18" s="27" customFormat="1" ht="18.95" hidden="1" customHeight="1" x14ac:dyDescent="0.2">
      <c r="A152" s="63" t="s">
        <v>108</v>
      </c>
      <c r="B152" s="26"/>
      <c r="C152" s="26"/>
      <c r="J152" s="21">
        <f>SUM(J132:J151)</f>
        <v>0</v>
      </c>
      <c r="K152" s="23"/>
      <c r="L152" s="21">
        <f>SUM(L132:L151)</f>
        <v>0</v>
      </c>
      <c r="N152" s="21">
        <f>SUM(N132:N151)</f>
        <v>0</v>
      </c>
      <c r="P152" s="21">
        <f>SUM(P132:P151)</f>
        <v>0</v>
      </c>
      <c r="R152" s="21">
        <f>SUM(R132:R151)</f>
        <v>0</v>
      </c>
    </row>
    <row r="153" spans="1:18" s="7" customFormat="1" ht="6" hidden="1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J43+J116+J127+J152</f>
        <v>37301815.420000002</v>
      </c>
      <c r="K154" s="23"/>
      <c r="L154" s="29">
        <f>L43+L116+L127+L152</f>
        <v>11965468.050000001</v>
      </c>
      <c r="N154" s="29">
        <f>N43+N116+N127+N152</f>
        <v>46155980.619999997</v>
      </c>
      <c r="P154" s="29">
        <f>P43+P116+P127+P152</f>
        <v>58121448.670000002</v>
      </c>
      <c r="R154" s="29">
        <f>R43+R116+R127+R152</f>
        <v>61325615.75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x14ac:dyDescent="0.2">
      <c r="A157" s="321" t="s">
        <v>133</v>
      </c>
      <c r="B157" s="321"/>
      <c r="C157" s="321"/>
      <c r="D157" s="33"/>
      <c r="E157" s="32"/>
      <c r="G157" s="31"/>
      <c r="I157" s="31"/>
      <c r="J157" s="321" t="s">
        <v>276</v>
      </c>
      <c r="K157" s="321"/>
      <c r="L157" s="321"/>
      <c r="M157" s="47"/>
      <c r="N157" s="49"/>
      <c r="O157" s="49"/>
      <c r="P157" s="48" t="s">
        <v>135</v>
      </c>
    </row>
    <row r="158" spans="1:18" x14ac:dyDescent="0.2">
      <c r="A158" s="50"/>
      <c r="D158" s="33"/>
      <c r="E158" s="51"/>
      <c r="G158" s="31"/>
      <c r="I158" s="31"/>
      <c r="J158" s="168"/>
      <c r="M158" s="99"/>
      <c r="N158" s="36"/>
      <c r="O158" s="36"/>
      <c r="P158" s="51"/>
    </row>
    <row r="159" spans="1:18" x14ac:dyDescent="0.2">
      <c r="A159" s="50"/>
      <c r="D159" s="33"/>
      <c r="E159" s="51"/>
      <c r="G159" s="31"/>
      <c r="I159" s="31"/>
      <c r="J159" s="168"/>
      <c r="M159" s="99"/>
      <c r="N159" s="36"/>
      <c r="O159" s="36"/>
      <c r="P159" s="51"/>
    </row>
    <row r="160" spans="1:18" x14ac:dyDescent="0.2">
      <c r="A160" s="52"/>
      <c r="D160" s="31"/>
      <c r="E160" s="53"/>
      <c r="G160" s="31"/>
      <c r="I160" s="31"/>
      <c r="J160" s="31"/>
      <c r="M160" s="31"/>
      <c r="P160" s="53"/>
    </row>
    <row r="161" spans="1:16" x14ac:dyDescent="0.2">
      <c r="A161" s="322" t="s">
        <v>267</v>
      </c>
      <c r="B161" s="322"/>
      <c r="C161" s="322"/>
      <c r="D161" s="55"/>
      <c r="E161" s="56"/>
      <c r="G161" s="31"/>
      <c r="I161" s="31"/>
      <c r="J161" s="322" t="s">
        <v>291</v>
      </c>
      <c r="K161" s="322"/>
      <c r="L161" s="322"/>
      <c r="M161" s="57"/>
      <c r="N161" s="59"/>
      <c r="O161" s="59"/>
      <c r="P161" s="58" t="s">
        <v>137</v>
      </c>
    </row>
    <row r="162" spans="1:16" x14ac:dyDescent="0.2">
      <c r="A162" s="321" t="s">
        <v>285</v>
      </c>
      <c r="B162" s="321"/>
      <c r="C162" s="321"/>
      <c r="D162" s="31"/>
      <c r="E162" s="32"/>
      <c r="G162" s="31"/>
      <c r="I162" s="31"/>
      <c r="J162" s="321" t="s">
        <v>269</v>
      </c>
      <c r="K162" s="321"/>
      <c r="L162" s="321"/>
      <c r="M162" s="33"/>
      <c r="N162" s="35"/>
      <c r="O162" s="35"/>
      <c r="P162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71" activePane="bottomRight" state="frozen"/>
      <selection pane="bottomRight" activeCell="R113" sqref="R113"/>
      <rowBreaks count="1" manualBreakCount="1">
        <brk id="68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N73" sqref="N73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13" activePane="bottomRight" state="frozen"/>
      <selection pane="bottomRight" activeCell="P155" sqref="P155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64" activePane="bottomRight" state="frozen"/>
      <selection pane="bottomRight" activeCell="R114" sqref="R114:R115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87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J162:L162"/>
    <mergeCell ref="A161:C161"/>
    <mergeCell ref="A162:C162"/>
    <mergeCell ref="A157:C157"/>
    <mergeCell ref="A1:S1"/>
    <mergeCell ref="A2:S2"/>
    <mergeCell ref="L9:P9"/>
    <mergeCell ref="P10:P12"/>
    <mergeCell ref="A11:C11"/>
    <mergeCell ref="E11:H11"/>
    <mergeCell ref="A13:C13"/>
    <mergeCell ref="E13:H13"/>
    <mergeCell ref="A116:C116"/>
    <mergeCell ref="J157:L157"/>
    <mergeCell ref="J161:L161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8" max="1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65"/>
  <sheetViews>
    <sheetView view="pageBreakPreview" zoomScaleNormal="85" zoomScaleSheetLayoutView="100" workbookViewId="0">
      <pane xSplit="1" ySplit="14" topLeftCell="B40" activePane="bottomRight" state="frozen"/>
      <selection pane="topRight" activeCell="B1" sqref="B1"/>
      <selection pane="bottomLeft" activeCell="A15" sqref="A15"/>
      <selection pane="bottomRight" activeCell="A158" sqref="A15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212</v>
      </c>
      <c r="H4" s="3"/>
      <c r="I4" s="3"/>
      <c r="R4" s="77">
        <v>8711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4"/>
      <c r="J17" s="13">
        <v>12070645.140000001</v>
      </c>
      <c r="K17" s="13"/>
      <c r="L17" s="36">
        <v>5323220.18</v>
      </c>
      <c r="M17" s="36"/>
      <c r="N17" s="36">
        <f t="shared" ref="N17:N22" si="0">P17-L17</f>
        <v>12120739.75</v>
      </c>
      <c r="O17" s="36"/>
      <c r="P17" s="13">
        <v>17443959.93</v>
      </c>
      <c r="Q17" s="36"/>
      <c r="R17" s="36">
        <v>18918111.34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>
        <f t="shared" si="0"/>
        <v>0</v>
      </c>
      <c r="O18" s="36"/>
      <c r="P18" s="39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974367.49</v>
      </c>
      <c r="K19" s="13"/>
      <c r="L19" s="36">
        <v>430367.94</v>
      </c>
      <c r="M19" s="36"/>
      <c r="N19" s="36">
        <f t="shared" si="0"/>
        <v>1081632.06</v>
      </c>
      <c r="O19" s="36"/>
      <c r="P19" s="13">
        <v>1512000</v>
      </c>
      <c r="Q19" s="36"/>
      <c r="R19" s="36">
        <v>1512000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0</v>
      </c>
      <c r="K20" s="13"/>
      <c r="L20" s="36"/>
      <c r="M20" s="36"/>
      <c r="N20" s="36">
        <f t="shared" si="0"/>
        <v>102000</v>
      </c>
      <c r="O20" s="36"/>
      <c r="P20" s="13">
        <v>102000</v>
      </c>
      <c r="Q20" s="36"/>
      <c r="R20" s="36">
        <v>102000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0</v>
      </c>
      <c r="K21" s="13"/>
      <c r="L21" s="36"/>
      <c r="M21" s="36"/>
      <c r="N21" s="36">
        <f t="shared" si="0"/>
        <v>102000</v>
      </c>
      <c r="O21" s="36"/>
      <c r="P21" s="13">
        <v>102000</v>
      </c>
      <c r="Q21" s="36"/>
      <c r="R21" s="36">
        <v>102000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246000</v>
      </c>
      <c r="K22" s="13"/>
      <c r="L22" s="36">
        <v>198000</v>
      </c>
      <c r="M22" s="36"/>
      <c r="N22" s="36">
        <f t="shared" si="0"/>
        <v>180000</v>
      </c>
      <c r="O22" s="36"/>
      <c r="P22" s="13">
        <v>378000</v>
      </c>
      <c r="Q22" s="36"/>
      <c r="R22" s="36">
        <v>378000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13"/>
      <c r="Q23" s="36"/>
      <c r="R23" s="36"/>
    </row>
    <row r="24" spans="1:18" s="7" customFormat="1" ht="12.75" hidden="1" customHeight="1" x14ac:dyDescent="0.2">
      <c r="A24" s="86" t="s">
        <v>143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45</v>
      </c>
      <c r="J24" s="13"/>
      <c r="K24" s="13"/>
      <c r="L24" s="36"/>
      <c r="M24" s="36"/>
      <c r="N24" s="36"/>
      <c r="O24" s="36"/>
      <c r="P24" s="13"/>
      <c r="Q24" s="36"/>
      <c r="R24" s="36"/>
    </row>
    <row r="25" spans="1:18" s="7" customFormat="1" ht="12.75" hidden="1" customHeight="1" x14ac:dyDescent="0.2">
      <c r="A25" s="86" t="s">
        <v>144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60</v>
      </c>
      <c r="J25" s="13"/>
      <c r="K25" s="13"/>
      <c r="L25" s="36"/>
      <c r="M25" s="36"/>
      <c r="N25" s="36">
        <f t="shared" ref="N25:N41" si="1">P25-L25</f>
        <v>0</v>
      </c>
      <c r="O25" s="36"/>
      <c r="P25" s="13"/>
      <c r="Q25" s="36"/>
      <c r="R25" s="36"/>
    </row>
    <row r="26" spans="1:18" s="7" customFormat="1" ht="12.75" hidden="1" customHeight="1" x14ac:dyDescent="0.2">
      <c r="A26" s="86" t="s">
        <v>18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19</v>
      </c>
      <c r="J26" s="13"/>
      <c r="K26" s="13"/>
      <c r="L26" s="36"/>
      <c r="M26" s="36"/>
      <c r="N26" s="36">
        <f t="shared" si="1"/>
        <v>0</v>
      </c>
      <c r="O26" s="36"/>
      <c r="P26" s="13"/>
      <c r="Q26" s="36"/>
      <c r="R26" s="36"/>
    </row>
    <row r="27" spans="1:18" s="7" customFormat="1" ht="12.75" hidden="1" customHeight="1" x14ac:dyDescent="0.2">
      <c r="A27" s="86" t="s">
        <v>21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102</v>
      </c>
      <c r="J27" s="13"/>
      <c r="K27" s="13"/>
      <c r="L27" s="36"/>
      <c r="M27" s="36"/>
      <c r="N27" s="36">
        <f t="shared" si="1"/>
        <v>0</v>
      </c>
      <c r="O27" s="36"/>
      <c r="P27" s="13"/>
      <c r="Q27" s="36"/>
      <c r="R27" s="36"/>
    </row>
    <row r="28" spans="1:18" s="7" customFormat="1" ht="12.75" customHeight="1" x14ac:dyDescent="0.2">
      <c r="A28" s="86" t="s">
        <v>22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146</v>
      </c>
      <c r="J28" s="13"/>
      <c r="K28" s="13"/>
      <c r="L28" s="36">
        <v>244500</v>
      </c>
      <c r="M28" s="36"/>
      <c r="N28" s="36">
        <f t="shared" si="1"/>
        <v>103500</v>
      </c>
      <c r="O28" s="36"/>
      <c r="P28" s="13">
        <v>348000</v>
      </c>
      <c r="Q28" s="36"/>
      <c r="R28" s="36"/>
    </row>
    <row r="29" spans="1:18" s="7" customFormat="1" ht="12.75" hidden="1" customHeight="1" x14ac:dyDescent="0.2">
      <c r="A29" s="86" t="s">
        <v>145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47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23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24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customHeight="1" x14ac:dyDescent="0.2">
      <c r="A31" s="86" t="s">
        <v>27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28</v>
      </c>
      <c r="J31" s="36">
        <v>1023255.9</v>
      </c>
      <c r="K31" s="36"/>
      <c r="L31" s="36"/>
      <c r="M31" s="36"/>
      <c r="N31" s="36">
        <f>P31-L31</f>
        <v>1511102</v>
      </c>
      <c r="O31" s="36"/>
      <c r="P31" s="36">
        <v>1511102</v>
      </c>
      <c r="Q31" s="36"/>
      <c r="R31" s="36">
        <v>1578313</v>
      </c>
    </row>
    <row r="32" spans="1:18" s="7" customFormat="1" ht="12.75" customHeight="1" x14ac:dyDescent="0.2">
      <c r="A32" s="86" t="s">
        <v>25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26</v>
      </c>
      <c r="J32" s="36">
        <v>207500</v>
      </c>
      <c r="K32" s="36"/>
      <c r="L32" s="36"/>
      <c r="M32" s="36"/>
      <c r="N32" s="36">
        <f t="shared" si="1"/>
        <v>315000</v>
      </c>
      <c r="O32" s="36"/>
      <c r="P32" s="36">
        <v>315000</v>
      </c>
      <c r="Q32" s="36"/>
      <c r="R32" s="36">
        <v>315000</v>
      </c>
    </row>
    <row r="33" spans="1:18" s="7" customFormat="1" ht="12.75" customHeight="1" x14ac:dyDescent="0.2">
      <c r="A33" s="86" t="s">
        <v>140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49</v>
      </c>
      <c r="J33" s="13">
        <v>1029940</v>
      </c>
      <c r="K33" s="13"/>
      <c r="L33" s="36">
        <v>887362</v>
      </c>
      <c r="M33" s="36"/>
      <c r="N33" s="36">
        <f>P33-L33</f>
        <v>623740</v>
      </c>
      <c r="O33" s="36"/>
      <c r="P33" s="13">
        <v>1511102</v>
      </c>
      <c r="Q33" s="36"/>
      <c r="R33" s="36">
        <v>1578313</v>
      </c>
    </row>
    <row r="34" spans="1:18" s="7" customFormat="1" ht="12.75" customHeight="1" x14ac:dyDescent="0.2">
      <c r="A34" s="86" t="s">
        <v>263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8</v>
      </c>
      <c r="J34" s="36">
        <v>1451130</v>
      </c>
      <c r="K34" s="36"/>
      <c r="L34" s="36">
        <v>639701.68000000005</v>
      </c>
      <c r="M34" s="36"/>
      <c r="N34" s="36">
        <f t="shared" si="1"/>
        <v>1536285.1999999997</v>
      </c>
      <c r="O34" s="36"/>
      <c r="P34" s="36">
        <v>2175986.88</v>
      </c>
      <c r="Q34" s="36"/>
      <c r="R34" s="36">
        <v>2272770.7200000002</v>
      </c>
    </row>
    <row r="35" spans="1:18" s="7" customFormat="1" ht="12.75" customHeight="1" x14ac:dyDescent="0.2">
      <c r="A35" s="86" t="s">
        <v>30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10</v>
      </c>
      <c r="J35" s="36">
        <v>49600</v>
      </c>
      <c r="K35" s="36"/>
      <c r="L35" s="36">
        <v>21600</v>
      </c>
      <c r="M35" s="36"/>
      <c r="N35" s="36">
        <f t="shared" si="1"/>
        <v>54000</v>
      </c>
      <c r="O35" s="36"/>
      <c r="P35" s="36">
        <v>75600</v>
      </c>
      <c r="Q35" s="36"/>
      <c r="R35" s="36">
        <v>75600</v>
      </c>
    </row>
    <row r="36" spans="1:18" s="7" customFormat="1" ht="12.75" customHeight="1" x14ac:dyDescent="0.2">
      <c r="A36" s="86" t="s">
        <v>31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15</v>
      </c>
      <c r="J36" s="36">
        <v>155641.97</v>
      </c>
      <c r="K36" s="36"/>
      <c r="L36" s="36">
        <v>78928.14</v>
      </c>
      <c r="M36" s="36"/>
      <c r="N36" s="36">
        <f t="shared" si="1"/>
        <v>182231.7</v>
      </c>
      <c r="O36" s="36"/>
      <c r="P36" s="36">
        <v>261159.84</v>
      </c>
      <c r="Q36" s="36"/>
      <c r="R36" s="36">
        <v>323131.2</v>
      </c>
    </row>
    <row r="37" spans="1:18" s="7" customFormat="1" ht="12.75" customHeight="1" x14ac:dyDescent="0.2">
      <c r="A37" s="86" t="s">
        <v>32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17</v>
      </c>
      <c r="J37" s="36">
        <v>49019.55</v>
      </c>
      <c r="K37" s="36"/>
      <c r="L37" s="36">
        <v>21572.39</v>
      </c>
      <c r="M37" s="36"/>
      <c r="N37" s="36">
        <f t="shared" si="1"/>
        <v>54027.61</v>
      </c>
      <c r="O37" s="36"/>
      <c r="P37" s="36">
        <v>75600</v>
      </c>
      <c r="Q37" s="36"/>
      <c r="R37" s="36">
        <v>75600</v>
      </c>
    </row>
    <row r="38" spans="1:18" s="7" customFormat="1" ht="12.75" hidden="1" customHeight="1" x14ac:dyDescent="0.2">
      <c r="A38" s="86" t="s">
        <v>147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8</v>
      </c>
      <c r="J38" s="36"/>
      <c r="K38" s="36"/>
      <c r="L38" s="36"/>
      <c r="M38" s="36"/>
      <c r="N38" s="36">
        <f t="shared" si="1"/>
        <v>0</v>
      </c>
      <c r="O38" s="36"/>
      <c r="P38" s="36"/>
      <c r="Q38" s="36"/>
      <c r="R38" s="36"/>
    </row>
    <row r="39" spans="1:18" s="7" customFormat="1" ht="12.75" hidden="1" customHeight="1" x14ac:dyDescent="0.2">
      <c r="A39" s="86" t="s">
        <v>148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10</v>
      </c>
      <c r="J39" s="36"/>
      <c r="K39" s="36"/>
      <c r="L39" s="36"/>
      <c r="M39" s="36"/>
      <c r="N39" s="36"/>
      <c r="O39" s="36"/>
      <c r="P39" s="36"/>
      <c r="Q39" s="36"/>
      <c r="R39" s="36"/>
    </row>
    <row r="40" spans="1:18" s="7" customFormat="1" ht="12.75" customHeight="1" x14ac:dyDescent="0.2">
      <c r="A40" s="86" t="s">
        <v>33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15</v>
      </c>
      <c r="J40" s="36">
        <v>1032760.53</v>
      </c>
      <c r="K40" s="36"/>
      <c r="L40" s="36"/>
      <c r="M40" s="36"/>
      <c r="N40" s="36">
        <f t="shared" si="1"/>
        <v>1514832.16</v>
      </c>
      <c r="O40" s="36"/>
      <c r="P40" s="36">
        <v>1514832.16</v>
      </c>
      <c r="Q40" s="36"/>
      <c r="R40" s="36">
        <v>998667.58</v>
      </c>
    </row>
    <row r="41" spans="1:18" s="7" customFormat="1" ht="12.75" customHeight="1" x14ac:dyDescent="0.2">
      <c r="A41" s="86" t="s">
        <v>35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49</v>
      </c>
      <c r="J41" s="36">
        <v>225000</v>
      </c>
      <c r="K41" s="36"/>
      <c r="L41" s="36"/>
      <c r="M41" s="36"/>
      <c r="N41" s="36">
        <f t="shared" si="1"/>
        <v>330000</v>
      </c>
      <c r="O41" s="36"/>
      <c r="P41" s="36">
        <v>330000</v>
      </c>
      <c r="Q41" s="36"/>
      <c r="R41" s="36">
        <v>315000</v>
      </c>
    </row>
    <row r="42" spans="1:18" s="7" customFormat="1" ht="12.75" hidden="1" customHeight="1" x14ac:dyDescent="0.2">
      <c r="A42" s="86" t="s">
        <v>149</v>
      </c>
      <c r="B42" s="111"/>
      <c r="C42" s="111"/>
      <c r="D42" s="112"/>
      <c r="E42" s="112">
        <v>5</v>
      </c>
      <c r="F42" s="113" t="s">
        <v>7</v>
      </c>
      <c r="G42" s="112" t="s">
        <v>29</v>
      </c>
      <c r="H42" s="112" t="s">
        <v>64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s="7" customFormat="1" ht="18.95" customHeight="1" x14ac:dyDescent="0.2">
      <c r="A43" s="63" t="s">
        <v>36</v>
      </c>
      <c r="B43" s="26"/>
      <c r="C43" s="26"/>
      <c r="J43" s="161">
        <f>SUM(J17:J42)</f>
        <v>18514860.580000002</v>
      </c>
      <c r="K43" s="162"/>
      <c r="L43" s="161">
        <f>SUM(L17:L42)</f>
        <v>7845252.3299999991</v>
      </c>
      <c r="M43" s="36"/>
      <c r="N43" s="161">
        <f>SUM(N17:N42)</f>
        <v>19811090.48</v>
      </c>
      <c r="O43" s="36"/>
      <c r="P43" s="161">
        <f>SUM(P17:P42)</f>
        <v>27656342.809999999</v>
      </c>
      <c r="Q43" s="36"/>
      <c r="R43" s="161">
        <f>SUM(R17:R42)</f>
        <v>28544506.839999996</v>
      </c>
    </row>
    <row r="44" spans="1:18" s="7" customFormat="1" ht="6" customHeight="1" x14ac:dyDescent="0.2">
      <c r="A44" s="17"/>
      <c r="B44" s="17"/>
      <c r="C44" s="17"/>
      <c r="J44" s="162"/>
      <c r="K44" s="162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68" t="s">
        <v>188</v>
      </c>
      <c r="B45" s="12"/>
      <c r="C45" s="12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7" customFormat="1" ht="6" customHeight="1" x14ac:dyDescent="0.2">
      <c r="A46" s="68"/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12.75" customHeight="1" x14ac:dyDescent="0.2">
      <c r="A47" s="86" t="s">
        <v>37</v>
      </c>
      <c r="B47" s="111"/>
      <c r="C47" s="111"/>
      <c r="D47" s="112"/>
      <c r="E47" s="112">
        <v>5</v>
      </c>
      <c r="F47" s="113" t="s">
        <v>12</v>
      </c>
      <c r="G47" s="112" t="s">
        <v>7</v>
      </c>
      <c r="H47" s="112" t="s">
        <v>8</v>
      </c>
      <c r="J47" s="36">
        <v>125318</v>
      </c>
      <c r="K47" s="36"/>
      <c r="L47" s="36">
        <v>28923</v>
      </c>
      <c r="M47" s="36"/>
      <c r="N47" s="36">
        <f t="shared" ref="N47:N77" si="2">P47-L47</f>
        <v>214677</v>
      </c>
      <c r="O47" s="36"/>
      <c r="P47" s="36">
        <v>243600</v>
      </c>
      <c r="Q47" s="36"/>
      <c r="R47" s="36">
        <v>243600</v>
      </c>
    </row>
    <row r="48" spans="1:18" s="7" customFormat="1" ht="12.75" hidden="1" customHeight="1" x14ac:dyDescent="0.2">
      <c r="A48" s="86" t="s">
        <v>38</v>
      </c>
      <c r="B48" s="111"/>
      <c r="C48" s="111"/>
      <c r="E48" s="112">
        <v>5</v>
      </c>
      <c r="F48" s="113" t="s">
        <v>12</v>
      </c>
      <c r="G48" s="112" t="s">
        <v>7</v>
      </c>
      <c r="H48" s="112" t="s">
        <v>10</v>
      </c>
      <c r="J48" s="36"/>
      <c r="K48" s="36"/>
      <c r="L48" s="36"/>
      <c r="M48" s="36"/>
      <c r="N48" s="36">
        <f t="shared" si="2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39</v>
      </c>
      <c r="B49" s="111"/>
      <c r="C49" s="111"/>
      <c r="E49" s="112">
        <v>5</v>
      </c>
      <c r="F49" s="113" t="s">
        <v>12</v>
      </c>
      <c r="G49" s="112" t="s">
        <v>12</v>
      </c>
      <c r="H49" s="112" t="s">
        <v>8</v>
      </c>
      <c r="J49" s="36">
        <v>9110</v>
      </c>
      <c r="K49" s="36"/>
      <c r="L49" s="36"/>
      <c r="M49" s="36"/>
      <c r="N49" s="36">
        <f t="shared" si="2"/>
        <v>95000</v>
      </c>
      <c r="O49" s="36"/>
      <c r="P49" s="36">
        <v>95000</v>
      </c>
      <c r="Q49" s="36"/>
      <c r="R49" s="36">
        <v>95000</v>
      </c>
    </row>
    <row r="50" spans="1:18" s="7" customFormat="1" ht="12.75" hidden="1" customHeight="1" x14ac:dyDescent="0.2">
      <c r="A50" s="86" t="s">
        <v>142</v>
      </c>
      <c r="B50" s="111"/>
      <c r="C50" s="111"/>
      <c r="D50" s="112"/>
      <c r="E50" s="112">
        <v>5</v>
      </c>
      <c r="F50" s="113" t="s">
        <v>12</v>
      </c>
      <c r="G50" s="112" t="s">
        <v>12</v>
      </c>
      <c r="H50" s="112" t="s">
        <v>10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41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10</v>
      </c>
      <c r="J51" s="36"/>
      <c r="K51" s="36"/>
      <c r="L51" s="36"/>
      <c r="M51" s="36"/>
      <c r="N51" s="36">
        <f t="shared" si="2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42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17</v>
      </c>
      <c r="J52" s="36"/>
      <c r="K52" s="36"/>
      <c r="L52" s="36"/>
      <c r="M52" s="36"/>
      <c r="N52" s="36">
        <f t="shared" si="2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43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64</v>
      </c>
      <c r="J53" s="36"/>
      <c r="K53" s="36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88</v>
      </c>
      <c r="B54" s="111"/>
      <c r="C54" s="111"/>
      <c r="E54" s="112">
        <v>5</v>
      </c>
      <c r="F54" s="113" t="s">
        <v>12</v>
      </c>
      <c r="G54" s="112" t="s">
        <v>29</v>
      </c>
      <c r="H54" s="112" t="s">
        <v>60</v>
      </c>
      <c r="J54" s="36"/>
      <c r="K54" s="36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150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19</v>
      </c>
      <c r="J55" s="39"/>
      <c r="K55" s="39"/>
      <c r="L55" s="36"/>
      <c r="M55" s="36"/>
      <c r="N55" s="36">
        <f t="shared" si="2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151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82</v>
      </c>
      <c r="J56" s="39"/>
      <c r="K56" s="39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18" s="7" customFormat="1" ht="12.75" customHeight="1" x14ac:dyDescent="0.2">
      <c r="A57" s="86" t="s">
        <v>44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45</v>
      </c>
      <c r="J57" s="39">
        <v>186879.81</v>
      </c>
      <c r="K57" s="39"/>
      <c r="L57" s="36">
        <v>82771.710000000006</v>
      </c>
      <c r="M57" s="36"/>
      <c r="N57" s="36">
        <f t="shared" si="2"/>
        <v>576028.29</v>
      </c>
      <c r="O57" s="36"/>
      <c r="P57" s="36">
        <v>658800</v>
      </c>
      <c r="Q57" s="36"/>
      <c r="R57" s="36">
        <v>658800</v>
      </c>
    </row>
    <row r="58" spans="1:18" s="7" customFormat="1" ht="12.75" customHeight="1" x14ac:dyDescent="0.2">
      <c r="A58" s="86" t="s">
        <v>152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102</v>
      </c>
      <c r="J58" s="36">
        <v>44973</v>
      </c>
      <c r="K58" s="36"/>
      <c r="L58" s="36"/>
      <c r="M58" s="36"/>
      <c r="N58" s="36">
        <f t="shared" si="2"/>
        <v>200000</v>
      </c>
      <c r="O58" s="36"/>
      <c r="P58" s="36">
        <v>200000</v>
      </c>
      <c r="Q58" s="36"/>
      <c r="R58" s="36">
        <v>200000</v>
      </c>
    </row>
    <row r="59" spans="1:18" s="7" customFormat="1" ht="12.75" hidden="1" customHeight="1" x14ac:dyDescent="0.2">
      <c r="A59" s="86" t="s">
        <v>153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146</v>
      </c>
      <c r="J59" s="36"/>
      <c r="K59" s="36"/>
      <c r="L59" s="36"/>
      <c r="M59" s="36"/>
      <c r="N59" s="36">
        <f t="shared" si="2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46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47</v>
      </c>
      <c r="J60" s="36"/>
      <c r="K60" s="36"/>
      <c r="L60" s="36"/>
      <c r="M60" s="36"/>
      <c r="N60" s="36">
        <f t="shared" si="2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154</v>
      </c>
      <c r="B61" s="111"/>
      <c r="C61" s="111"/>
      <c r="E61" s="112">
        <v>5</v>
      </c>
      <c r="F61" s="113" t="s">
        <v>12</v>
      </c>
      <c r="G61" s="112" t="s">
        <v>29</v>
      </c>
      <c r="H61" s="112" t="s">
        <v>15</v>
      </c>
      <c r="J61" s="36"/>
      <c r="K61" s="36"/>
      <c r="L61" s="36"/>
      <c r="M61" s="36"/>
      <c r="N61" s="36">
        <f t="shared" si="2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51</v>
      </c>
      <c r="B62" s="111"/>
      <c r="C62" s="111"/>
      <c r="D62" s="112"/>
      <c r="E62" s="112">
        <v>5</v>
      </c>
      <c r="F62" s="113" t="s">
        <v>12</v>
      </c>
      <c r="G62" s="112" t="s">
        <v>29</v>
      </c>
      <c r="H62" s="112" t="s">
        <v>24</v>
      </c>
      <c r="J62" s="36"/>
      <c r="K62" s="36"/>
      <c r="L62" s="36"/>
      <c r="M62" s="36"/>
      <c r="N62" s="36">
        <f t="shared" si="2"/>
        <v>0</v>
      </c>
      <c r="O62" s="36"/>
      <c r="P62" s="36"/>
      <c r="Q62" s="36"/>
      <c r="R62" s="36"/>
    </row>
    <row r="63" spans="1:18" s="7" customFormat="1" ht="12.75" customHeight="1" x14ac:dyDescent="0.2">
      <c r="A63" s="86" t="s">
        <v>48</v>
      </c>
      <c r="B63" s="111"/>
      <c r="C63" s="111"/>
      <c r="E63" s="112">
        <v>5</v>
      </c>
      <c r="F63" s="113" t="s">
        <v>12</v>
      </c>
      <c r="G63" s="112" t="s">
        <v>29</v>
      </c>
      <c r="H63" s="114" t="s">
        <v>49</v>
      </c>
      <c r="J63" s="36">
        <v>0</v>
      </c>
      <c r="K63" s="36"/>
      <c r="L63" s="36"/>
      <c r="M63" s="36"/>
      <c r="N63" s="36">
        <f t="shared" si="2"/>
        <v>60000</v>
      </c>
      <c r="O63" s="36"/>
      <c r="P63" s="36">
        <v>60000</v>
      </c>
      <c r="Q63" s="36"/>
      <c r="R63" s="36">
        <v>60000</v>
      </c>
    </row>
    <row r="64" spans="1:18" s="7" customFormat="1" ht="12.75" hidden="1" customHeight="1" x14ac:dyDescent="0.2">
      <c r="A64" s="86" t="s">
        <v>50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8</v>
      </c>
      <c r="J64" s="36"/>
      <c r="K64" s="36"/>
      <c r="L64" s="36"/>
      <c r="M64" s="36"/>
      <c r="N64" s="36">
        <f t="shared" si="2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52</v>
      </c>
      <c r="B65" s="111"/>
      <c r="C65" s="111"/>
      <c r="D65" s="112"/>
      <c r="E65" s="112">
        <v>5</v>
      </c>
      <c r="F65" s="113" t="s">
        <v>12</v>
      </c>
      <c r="G65" s="112" t="s">
        <v>34</v>
      </c>
      <c r="H65" s="112" t="s">
        <v>10</v>
      </c>
      <c r="J65" s="36"/>
      <c r="K65" s="36"/>
      <c r="L65" s="36"/>
      <c r="M65" s="36"/>
      <c r="N65" s="36">
        <f t="shared" si="2"/>
        <v>0</v>
      </c>
      <c r="O65" s="36"/>
      <c r="P65" s="36"/>
      <c r="Q65" s="36"/>
      <c r="R65" s="36"/>
    </row>
    <row r="66" spans="1:18" s="7" customFormat="1" ht="12.75" hidden="1" customHeight="1" x14ac:dyDescent="0.2">
      <c r="A66" s="86" t="s">
        <v>48</v>
      </c>
      <c r="B66" s="111"/>
      <c r="C66" s="111"/>
      <c r="D66" s="112"/>
      <c r="E66" s="112">
        <v>5</v>
      </c>
      <c r="F66" s="113" t="s">
        <v>12</v>
      </c>
      <c r="G66" s="112" t="s">
        <v>29</v>
      </c>
      <c r="H66" s="114" t="s">
        <v>49</v>
      </c>
      <c r="J66" s="36"/>
      <c r="K66" s="36"/>
      <c r="L66" s="36"/>
      <c r="M66" s="36"/>
      <c r="N66" s="36">
        <f t="shared" si="2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53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8</v>
      </c>
      <c r="J67" s="36"/>
      <c r="K67" s="36"/>
      <c r="L67" s="36"/>
      <c r="M67" s="36"/>
      <c r="N67" s="36">
        <f t="shared" si="2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55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10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56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15</v>
      </c>
      <c r="J69" s="36"/>
      <c r="K69" s="36"/>
      <c r="L69" s="36"/>
      <c r="M69" s="36"/>
      <c r="N69" s="36">
        <f t="shared" si="2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57</v>
      </c>
      <c r="B70" s="111"/>
      <c r="C70" s="111"/>
      <c r="E70" s="112">
        <v>5</v>
      </c>
      <c r="F70" s="113" t="s">
        <v>12</v>
      </c>
      <c r="G70" s="112" t="s">
        <v>54</v>
      </c>
      <c r="H70" s="112" t="s">
        <v>17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58</v>
      </c>
      <c r="B71" s="111"/>
      <c r="C71" s="111"/>
      <c r="E71" s="112">
        <v>5</v>
      </c>
      <c r="F71" s="112" t="s">
        <v>12</v>
      </c>
      <c r="G71" s="112" t="s">
        <v>59</v>
      </c>
      <c r="H71" s="112" t="s">
        <v>60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66</v>
      </c>
      <c r="B72" s="111"/>
      <c r="C72" s="111"/>
      <c r="E72" s="112">
        <v>5</v>
      </c>
      <c r="F72" s="113" t="s">
        <v>12</v>
      </c>
      <c r="G72" s="112" t="s">
        <v>67</v>
      </c>
      <c r="H72" s="112" t="s">
        <v>8</v>
      </c>
      <c r="J72" s="36"/>
      <c r="K72" s="36"/>
      <c r="L72" s="36"/>
      <c r="M72" s="36"/>
      <c r="N72" s="36">
        <f t="shared" si="2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61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8</v>
      </c>
      <c r="J73" s="36"/>
      <c r="K73" s="36"/>
      <c r="L73" s="36"/>
      <c r="M73" s="36"/>
      <c r="N73" s="36">
        <f t="shared" si="2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62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10</v>
      </c>
      <c r="J74" s="36"/>
      <c r="K74" s="36"/>
      <c r="L74" s="36"/>
      <c r="M74" s="36"/>
      <c r="N74" s="36">
        <f t="shared" si="2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63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64</v>
      </c>
      <c r="J75" s="36"/>
      <c r="K75" s="36"/>
      <c r="L75" s="36"/>
      <c r="M75" s="36"/>
      <c r="N75" s="36">
        <f t="shared" si="2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155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15</v>
      </c>
      <c r="J76" s="36"/>
      <c r="K76" s="36"/>
      <c r="L76" s="36"/>
      <c r="M76" s="36"/>
      <c r="N76" s="36">
        <f t="shared" si="2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156</v>
      </c>
      <c r="B77" s="111"/>
      <c r="C77" s="111"/>
      <c r="E77" s="112">
        <v>5</v>
      </c>
      <c r="F77" s="112" t="s">
        <v>12</v>
      </c>
      <c r="G77" s="112" t="s">
        <v>59</v>
      </c>
      <c r="H77" s="112" t="s">
        <v>17</v>
      </c>
      <c r="J77" s="36"/>
      <c r="K77" s="36"/>
      <c r="L77" s="36"/>
      <c r="M77" s="36"/>
      <c r="N77" s="36">
        <f t="shared" si="2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63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64</v>
      </c>
      <c r="J78" s="36"/>
      <c r="K78" s="36"/>
      <c r="L78" s="36"/>
      <c r="M78" s="36"/>
      <c r="N78" s="36">
        <f t="shared" ref="N78:N112" si="3">P78-L78</f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65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19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157</v>
      </c>
      <c r="B80" s="111"/>
      <c r="C80" s="111"/>
      <c r="E80" s="112">
        <v>5</v>
      </c>
      <c r="F80" s="113" t="s">
        <v>12</v>
      </c>
      <c r="G80" s="112" t="s">
        <v>93</v>
      </c>
      <c r="H80" s="112" t="s">
        <v>8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66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8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68</v>
      </c>
      <c r="B82" s="111"/>
      <c r="C82" s="111"/>
      <c r="E82" s="112">
        <v>5</v>
      </c>
      <c r="F82" s="113" t="s">
        <v>12</v>
      </c>
      <c r="G82" s="112" t="s">
        <v>67</v>
      </c>
      <c r="H82" s="112" t="s">
        <v>10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158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8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159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10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69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15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160</v>
      </c>
      <c r="B86" s="111"/>
      <c r="C86" s="111"/>
      <c r="E86" s="112">
        <v>5</v>
      </c>
      <c r="F86" s="113" t="s">
        <v>12</v>
      </c>
      <c r="G86" s="112" t="s">
        <v>163</v>
      </c>
      <c r="H86" s="112" t="s">
        <v>8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2" t="s">
        <v>163</v>
      </c>
      <c r="H87" s="114" t="s">
        <v>49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71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10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162</v>
      </c>
      <c r="B89" s="111"/>
      <c r="C89" s="111"/>
      <c r="E89" s="112">
        <v>5</v>
      </c>
      <c r="F89" s="113" t="s">
        <v>12</v>
      </c>
      <c r="G89" s="112" t="s">
        <v>163</v>
      </c>
      <c r="H89" s="112" t="s">
        <v>15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72</v>
      </c>
      <c r="B90" s="111"/>
      <c r="C90" s="111"/>
      <c r="E90" s="112">
        <v>5</v>
      </c>
      <c r="F90" s="113" t="s">
        <v>12</v>
      </c>
      <c r="G90" s="112" t="s">
        <v>70</v>
      </c>
      <c r="H90" s="112" t="s">
        <v>49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164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10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165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15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166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17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167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8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168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45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3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3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0</v>
      </c>
      <c r="K112" s="36"/>
      <c r="L112" s="36"/>
      <c r="M112" s="36"/>
      <c r="N112" s="36">
        <f t="shared" si="3"/>
        <v>25000</v>
      </c>
      <c r="O112" s="36"/>
      <c r="P112" s="36">
        <v>25000</v>
      </c>
      <c r="Q112" s="36"/>
      <c r="R112" s="36">
        <v>25000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SUM(J47:J112)</f>
        <v>366280.81</v>
      </c>
      <c r="K113" s="162"/>
      <c r="L113" s="161">
        <f>SUM(L47:L112)</f>
        <v>111694.71</v>
      </c>
      <c r="M113" s="36"/>
      <c r="N113" s="161">
        <f>SUM(N47:N112)</f>
        <v>1170705.29</v>
      </c>
      <c r="O113" s="36"/>
      <c r="P113" s="161">
        <f>SUM(P47:P112)</f>
        <v>1282400</v>
      </c>
      <c r="Q113" s="36"/>
      <c r="R113" s="161">
        <f>SUM(R47:R112)</f>
        <v>1282400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18.95" hidden="1" customHeight="1" x14ac:dyDescent="0.2">
      <c r="A125" s="63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</row>
    <row r="129" spans="1:8" s="7" customFormat="1" ht="12.75" hidden="1" customHeight="1" x14ac:dyDescent="0.2">
      <c r="A129" s="86" t="s">
        <v>92</v>
      </c>
      <c r="B129" s="111"/>
      <c r="C129" s="111"/>
      <c r="E129" s="112">
        <v>1</v>
      </c>
      <c r="F129" s="113" t="s">
        <v>93</v>
      </c>
      <c r="G129" s="112" t="s">
        <v>7</v>
      </c>
      <c r="H129" s="112" t="s">
        <v>8</v>
      </c>
    </row>
    <row r="130" spans="1: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</row>
    <row r="131" spans="1: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</row>
    <row r="132" spans="1:8" s="7" customFormat="1" ht="12.75" hidden="1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</row>
    <row r="133" spans="1:8" s="7" customFormat="1" ht="12.75" hidden="1" customHeight="1" x14ac:dyDescent="0.2">
      <c r="A133" s="86" t="s">
        <v>97</v>
      </c>
      <c r="B133" s="111"/>
      <c r="C133" s="111"/>
      <c r="E133" s="112">
        <v>1</v>
      </c>
      <c r="F133" s="113" t="s">
        <v>93</v>
      </c>
      <c r="G133" s="112" t="s">
        <v>93</v>
      </c>
      <c r="H133" s="112" t="s">
        <v>8</v>
      </c>
    </row>
    <row r="134" spans="1:8" s="7" customFormat="1" ht="12.75" hidden="1" customHeight="1" x14ac:dyDescent="0.2">
      <c r="A134" s="86" t="s">
        <v>98</v>
      </c>
      <c r="B134" s="116"/>
      <c r="C134" s="116"/>
      <c r="E134" s="112">
        <v>1</v>
      </c>
      <c r="F134" s="113" t="s">
        <v>93</v>
      </c>
      <c r="G134" s="112" t="s">
        <v>54</v>
      </c>
      <c r="H134" s="112" t="s">
        <v>15</v>
      </c>
    </row>
    <row r="135" spans="1:8" s="7" customFormat="1" ht="12.75" hidden="1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</row>
    <row r="136" spans="1: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</row>
    <row r="137" spans="1:8" s="7" customFormat="1" ht="12.7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</row>
    <row r="138" spans="1: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</row>
    <row r="139" spans="1: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</row>
    <row r="140" spans="1: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</row>
    <row r="141" spans="1: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</row>
    <row r="142" spans="1: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</row>
    <row r="143" spans="1: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</row>
    <row r="144" spans="1: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</row>
    <row r="145" spans="1:18" s="7" customFormat="1" ht="12.75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18881141.390000001</v>
      </c>
      <c r="K150" s="23"/>
      <c r="L150" s="29">
        <f>L43+L113+L124+L148</f>
        <v>7956947.0399999991</v>
      </c>
      <c r="N150" s="29">
        <f>N43+N113+N124+N148</f>
        <v>20981795.77</v>
      </c>
      <c r="P150" s="29">
        <f>P43+P113+P124+P148</f>
        <v>28938742.809999999</v>
      </c>
      <c r="R150" s="29">
        <f>R43+R113+R124+R148</f>
        <v>29826906.839999996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5" t="s">
        <v>133</v>
      </c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48" t="s">
        <v>135</v>
      </c>
    </row>
    <row r="155" spans="1:18" x14ac:dyDescent="0.2">
      <c r="A155" s="75"/>
      <c r="D155" s="33"/>
      <c r="E155" s="32"/>
      <c r="G155" s="31"/>
      <c r="I155" s="31"/>
      <c r="J155" s="93"/>
      <c r="K155" s="93"/>
      <c r="L155" s="93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6" t="s">
        <v>213</v>
      </c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58" t="s">
        <v>137</v>
      </c>
    </row>
    <row r="159" spans="1:18" x14ac:dyDescent="0.2">
      <c r="A159" s="46" t="s">
        <v>302</v>
      </c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60" t="s">
        <v>139</v>
      </c>
    </row>
    <row r="165" spans="18:18" x14ac:dyDescent="0.2">
      <c r="R165" s="1">
        <f>R150+'8721'!R150+'8751'!R154+'3361 (1)'!R122+'3361 (2)'!R110</f>
        <v>140276300.61000001</v>
      </c>
    </row>
  </sheetData>
  <customSheetViews>
    <customSheetView guid="{1998FCB8-1FEB-4076-ACE6-A225EE4366B3}" showPageBreaks="1" printArea="1" hiddenRows="1" view="pageBreakPreview">
      <pane xSplit="1" ySplit="14" topLeftCell="B37" activePane="bottomRight" state="frozen"/>
      <selection pane="bottomRight" activeCell="N152" sqref="N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49" sqref="C149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61" activePane="bottomRight" state="frozen"/>
      <selection pane="bottomRight" activeCell="N38" sqref="N38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25" activePane="bottomRight" state="frozen"/>
      <selection pane="bottomRight" activeCell="R153" sqref="R153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3" activePane="bottomRight" state="frozen"/>
      <selection pane="bottomRight" activeCell="R112" sqref="R112"/>
      <rowBreaks count="1" manualBreakCount="1">
        <brk id="62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7" max="1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125" activePane="bottomRight" state="frozen"/>
      <selection pane="topRight" activeCell="B1" sqref="B1"/>
      <selection pane="bottomLeft" activeCell="A15" sqref="A15"/>
      <selection pane="bottomRight" activeCell="A113" sqref="A113:C11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217</v>
      </c>
      <c r="H4" s="3"/>
      <c r="I4" s="3"/>
      <c r="R4" s="77">
        <v>8721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218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7668931.4400000004</v>
      </c>
      <c r="K17" s="13"/>
      <c r="L17" s="36">
        <v>3511874.71</v>
      </c>
      <c r="M17" s="36"/>
      <c r="N17" s="36">
        <f>P17-L17</f>
        <v>6155529.6700000009</v>
      </c>
      <c r="O17" s="36"/>
      <c r="P17" s="36">
        <v>9667404.3800000008</v>
      </c>
      <c r="Q17" s="36"/>
      <c r="R17" s="36">
        <v>10244990.57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/>
      <c r="O18" s="36"/>
      <c r="P18" s="36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624000</v>
      </c>
      <c r="K19" s="13"/>
      <c r="L19" s="36">
        <v>276000</v>
      </c>
      <c r="M19" s="36"/>
      <c r="N19" s="36">
        <f t="shared" ref="N19:N22" si="0">P19-L19</f>
        <v>516000</v>
      </c>
      <c r="O19" s="36"/>
      <c r="P19" s="36">
        <v>792000</v>
      </c>
      <c r="Q19" s="36"/>
      <c r="R19" s="36">
        <v>792000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102000</v>
      </c>
      <c r="K20" s="13"/>
      <c r="L20" s="36">
        <v>51000</v>
      </c>
      <c r="M20" s="36"/>
      <c r="N20" s="36">
        <f t="shared" si="0"/>
        <v>51000</v>
      </c>
      <c r="O20" s="36"/>
      <c r="P20" s="36">
        <v>102000</v>
      </c>
      <c r="Q20" s="36"/>
      <c r="R20" s="36">
        <v>102000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0</v>
      </c>
      <c r="K21" s="13"/>
      <c r="L21" s="36"/>
      <c r="M21" s="36"/>
      <c r="N21" s="36">
        <f t="shared" si="0"/>
        <v>25500</v>
      </c>
      <c r="O21" s="36"/>
      <c r="P21" s="36">
        <v>25500</v>
      </c>
      <c r="Q21" s="36"/>
      <c r="R21" s="36">
        <v>25500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156000</v>
      </c>
      <c r="K22" s="13"/>
      <c r="L22" s="36">
        <v>138000</v>
      </c>
      <c r="M22" s="36"/>
      <c r="N22" s="36">
        <f t="shared" si="0"/>
        <v>60000</v>
      </c>
      <c r="O22" s="36"/>
      <c r="P22" s="36">
        <v>198000</v>
      </c>
      <c r="Q22" s="36"/>
      <c r="R22" s="36">
        <v>198000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143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45</v>
      </c>
      <c r="J24" s="13"/>
      <c r="K24" s="13"/>
      <c r="L24" s="36"/>
      <c r="M24" s="36"/>
      <c r="N24" s="36"/>
      <c r="O24" s="36"/>
      <c r="P24" s="36"/>
      <c r="Q24" s="36"/>
      <c r="R24" s="36"/>
    </row>
    <row r="25" spans="1:18" s="7" customFormat="1" ht="12.75" hidden="1" customHeight="1" x14ac:dyDescent="0.2">
      <c r="A25" s="86" t="s">
        <v>144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60</v>
      </c>
      <c r="J25" s="13"/>
      <c r="K25" s="13"/>
      <c r="L25" s="36"/>
      <c r="M25" s="36"/>
      <c r="N25" s="36">
        <f t="shared" ref="N25:N41" si="1">P25-L25</f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18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19</v>
      </c>
      <c r="J26" s="13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hidden="1" customHeight="1" x14ac:dyDescent="0.2">
      <c r="A27" s="86" t="s">
        <v>21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102</v>
      </c>
      <c r="J27" s="13"/>
      <c r="K27" s="13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18" s="7" customFormat="1" ht="12.75" customHeight="1" x14ac:dyDescent="0.2">
      <c r="A28" s="86" t="s">
        <v>22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146</v>
      </c>
      <c r="J28" s="13"/>
      <c r="K28" s="13"/>
      <c r="L28" s="36">
        <v>218500</v>
      </c>
      <c r="M28" s="36"/>
      <c r="N28" s="36">
        <f t="shared" si="1"/>
        <v>113000</v>
      </c>
      <c r="O28" s="36"/>
      <c r="P28" s="36">
        <v>331500</v>
      </c>
      <c r="Q28" s="36"/>
      <c r="R28" s="36"/>
    </row>
    <row r="29" spans="1:18" s="7" customFormat="1" ht="12.75" hidden="1" customHeight="1" x14ac:dyDescent="0.2">
      <c r="A29" s="86" t="s">
        <v>145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47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23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24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customHeight="1" x14ac:dyDescent="0.2">
      <c r="A31" s="86" t="s">
        <v>27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28</v>
      </c>
      <c r="J31" s="36">
        <v>640203</v>
      </c>
      <c r="K31" s="36"/>
      <c r="L31" s="36"/>
      <c r="M31" s="36"/>
      <c r="N31" s="36">
        <f t="shared" ref="N31" si="2">P31-L31</f>
        <v>819011</v>
      </c>
      <c r="O31" s="36"/>
      <c r="P31" s="36">
        <v>819011</v>
      </c>
      <c r="Q31" s="36"/>
      <c r="R31" s="36">
        <v>854693</v>
      </c>
    </row>
    <row r="32" spans="1:18" s="7" customFormat="1" ht="12.75" customHeight="1" x14ac:dyDescent="0.2">
      <c r="A32" s="86" t="s">
        <v>25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26</v>
      </c>
      <c r="J32" s="36">
        <v>130000</v>
      </c>
      <c r="K32" s="36"/>
      <c r="L32" s="36"/>
      <c r="M32" s="36"/>
      <c r="N32" s="36">
        <f t="shared" si="1"/>
        <v>165000</v>
      </c>
      <c r="O32" s="36"/>
      <c r="P32" s="36">
        <v>165000</v>
      </c>
      <c r="Q32" s="36"/>
      <c r="R32" s="36">
        <v>165000</v>
      </c>
    </row>
    <row r="33" spans="1:18" s="7" customFormat="1" ht="12.75" customHeight="1" x14ac:dyDescent="0.2">
      <c r="A33" s="86" t="s">
        <v>140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49</v>
      </c>
      <c r="J33" s="13">
        <v>638965</v>
      </c>
      <c r="K33" s="13"/>
      <c r="L33" s="36">
        <v>585346</v>
      </c>
      <c r="M33" s="36"/>
      <c r="N33" s="36">
        <f>P33-L33</f>
        <v>233665</v>
      </c>
      <c r="O33" s="36"/>
      <c r="P33" s="36">
        <v>819011</v>
      </c>
      <c r="Q33" s="36"/>
      <c r="R33" s="36">
        <v>854693</v>
      </c>
    </row>
    <row r="34" spans="1:18" s="7" customFormat="1" ht="12.75" customHeight="1" x14ac:dyDescent="0.2">
      <c r="A34" s="86" t="s">
        <v>263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8</v>
      </c>
      <c r="J34" s="36">
        <v>920851.44</v>
      </c>
      <c r="K34" s="36"/>
      <c r="L34" s="36">
        <v>421449.12</v>
      </c>
      <c r="M34" s="36"/>
      <c r="N34" s="36">
        <f t="shared" si="1"/>
        <v>757926.72000000009</v>
      </c>
      <c r="O34" s="36"/>
      <c r="P34" s="36">
        <v>1179375.8400000001</v>
      </c>
      <c r="Q34" s="36"/>
      <c r="R34" s="36">
        <v>1230757.92</v>
      </c>
    </row>
    <row r="35" spans="1:18" s="7" customFormat="1" ht="12.75" customHeight="1" x14ac:dyDescent="0.2">
      <c r="A35" s="86" t="s">
        <v>30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10</v>
      </c>
      <c r="J35" s="36">
        <v>31200</v>
      </c>
      <c r="K35" s="36"/>
      <c r="L35" s="36">
        <v>13800</v>
      </c>
      <c r="M35" s="36"/>
      <c r="N35" s="36">
        <f t="shared" si="1"/>
        <v>25800</v>
      </c>
      <c r="O35" s="36"/>
      <c r="P35" s="36">
        <v>39600</v>
      </c>
      <c r="Q35" s="36"/>
      <c r="R35" s="36">
        <v>39600</v>
      </c>
    </row>
    <row r="36" spans="1:18" s="7" customFormat="1" ht="12.75" customHeight="1" x14ac:dyDescent="0.2">
      <c r="A36" s="86" t="s">
        <v>31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15</v>
      </c>
      <c r="J36" s="36">
        <v>88207.95</v>
      </c>
      <c r="K36" s="36"/>
      <c r="L36" s="36">
        <v>47000.46</v>
      </c>
      <c r="M36" s="36"/>
      <c r="N36" s="36">
        <f t="shared" si="1"/>
        <v>87886.32</v>
      </c>
      <c r="O36" s="36"/>
      <c r="P36" s="36">
        <v>134886.78</v>
      </c>
      <c r="Q36" s="36"/>
      <c r="R36" s="36">
        <v>169371.51</v>
      </c>
    </row>
    <row r="37" spans="1:18" s="7" customFormat="1" ht="12.75" customHeight="1" x14ac:dyDescent="0.2">
      <c r="A37" s="86" t="s">
        <v>32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17</v>
      </c>
      <c r="J37" s="36">
        <v>31200</v>
      </c>
      <c r="K37" s="36"/>
      <c r="L37" s="36">
        <v>13800</v>
      </c>
      <c r="M37" s="36"/>
      <c r="N37" s="36">
        <f t="shared" si="1"/>
        <v>25800</v>
      </c>
      <c r="O37" s="36"/>
      <c r="P37" s="36">
        <v>39600</v>
      </c>
      <c r="Q37" s="36"/>
      <c r="R37" s="36">
        <v>39600</v>
      </c>
    </row>
    <row r="38" spans="1:18" s="7" customFormat="1" ht="12.75" hidden="1" customHeight="1" x14ac:dyDescent="0.2">
      <c r="A38" s="86" t="s">
        <v>147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8</v>
      </c>
      <c r="J38" s="36"/>
      <c r="K38" s="36"/>
      <c r="L38" s="36"/>
      <c r="M38" s="36"/>
      <c r="N38" s="36">
        <f t="shared" si="1"/>
        <v>0</v>
      </c>
      <c r="O38" s="36"/>
      <c r="P38" s="36"/>
      <c r="Q38" s="36"/>
      <c r="R38" s="36"/>
    </row>
    <row r="39" spans="1:18" s="7" customFormat="1" ht="12.75" hidden="1" customHeight="1" x14ac:dyDescent="0.2">
      <c r="A39" s="86" t="s">
        <v>148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10</v>
      </c>
      <c r="J39" s="36"/>
      <c r="K39" s="36"/>
      <c r="L39" s="36"/>
      <c r="M39" s="36"/>
      <c r="N39" s="36">
        <f t="shared" si="1"/>
        <v>0</v>
      </c>
      <c r="O39" s="36"/>
      <c r="P39" s="36"/>
      <c r="Q39" s="36"/>
      <c r="R39" s="36"/>
    </row>
    <row r="40" spans="1:18" s="7" customFormat="1" ht="12.75" customHeight="1" x14ac:dyDescent="0.2">
      <c r="A40" s="86" t="s">
        <v>33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15</v>
      </c>
      <c r="J40" s="36">
        <v>559110.62</v>
      </c>
      <c r="K40" s="36"/>
      <c r="L40" s="36"/>
      <c r="M40" s="36"/>
      <c r="N40" s="36">
        <f t="shared" si="1"/>
        <v>136844.25</v>
      </c>
      <c r="O40" s="36"/>
      <c r="P40" s="36">
        <v>136844.25</v>
      </c>
      <c r="Q40" s="36"/>
      <c r="R40" s="36">
        <v>357184.65</v>
      </c>
    </row>
    <row r="41" spans="1:18" s="7" customFormat="1" ht="12.75" customHeight="1" x14ac:dyDescent="0.2">
      <c r="A41" s="86" t="s">
        <v>35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49</v>
      </c>
      <c r="J41" s="36">
        <v>155000</v>
      </c>
      <c r="K41" s="36"/>
      <c r="L41" s="36"/>
      <c r="M41" s="36"/>
      <c r="N41" s="36">
        <f t="shared" si="1"/>
        <v>185000</v>
      </c>
      <c r="O41" s="36"/>
      <c r="P41" s="36">
        <v>185000</v>
      </c>
      <c r="Q41" s="36"/>
      <c r="R41" s="36">
        <v>165000</v>
      </c>
    </row>
    <row r="42" spans="1:18" s="7" customFormat="1" ht="12.75" hidden="1" customHeight="1" x14ac:dyDescent="0.2">
      <c r="A42" s="86" t="s">
        <v>149</v>
      </c>
      <c r="B42" s="111"/>
      <c r="C42" s="111"/>
      <c r="D42" s="112"/>
      <c r="E42" s="112">
        <v>5</v>
      </c>
      <c r="F42" s="113" t="s">
        <v>7</v>
      </c>
      <c r="G42" s="112" t="s">
        <v>29</v>
      </c>
      <c r="H42" s="112" t="s">
        <v>64</v>
      </c>
      <c r="J42" s="36"/>
      <c r="K42" s="36"/>
      <c r="L42" s="36"/>
      <c r="M42" s="36"/>
      <c r="N42" s="36"/>
      <c r="O42" s="36"/>
      <c r="P42" s="36"/>
      <c r="Q42" s="36"/>
      <c r="R42" s="36"/>
    </row>
    <row r="43" spans="1:18" s="7" customFormat="1" ht="18.95" customHeight="1" x14ac:dyDescent="0.2">
      <c r="A43" s="63" t="s">
        <v>36</v>
      </c>
      <c r="B43" s="26"/>
      <c r="C43" s="26"/>
      <c r="J43" s="161">
        <f>SUM(J17:J42)</f>
        <v>11745669.449999999</v>
      </c>
      <c r="K43" s="162"/>
      <c r="L43" s="161">
        <f>SUM(L17:L42)</f>
        <v>5276770.29</v>
      </c>
      <c r="M43" s="36"/>
      <c r="N43" s="161">
        <f>SUM(N17:N42)</f>
        <v>9357962.9600000009</v>
      </c>
      <c r="O43" s="36"/>
      <c r="P43" s="161">
        <f>SUM(P17:P42)</f>
        <v>14634733.25</v>
      </c>
      <c r="Q43" s="36"/>
      <c r="R43" s="170">
        <f>SUM(R17:R42)</f>
        <v>15238390.65</v>
      </c>
    </row>
    <row r="44" spans="1:18" s="7" customFormat="1" ht="6" customHeight="1" x14ac:dyDescent="0.2">
      <c r="A44" s="17"/>
      <c r="B44" s="17"/>
      <c r="C44" s="17"/>
      <c r="J44" s="162"/>
      <c r="K44" s="162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68" t="s">
        <v>188</v>
      </c>
      <c r="B45" s="12"/>
      <c r="C45" s="12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7" customFormat="1" ht="6" customHeight="1" x14ac:dyDescent="0.2">
      <c r="A46" s="68"/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12.75" customHeight="1" x14ac:dyDescent="0.2">
      <c r="A47" s="86" t="s">
        <v>37</v>
      </c>
      <c r="B47" s="111"/>
      <c r="C47" s="111"/>
      <c r="D47" s="112"/>
      <c r="E47" s="112">
        <v>5</v>
      </c>
      <c r="F47" s="113" t="s">
        <v>12</v>
      </c>
      <c r="G47" s="112" t="s">
        <v>7</v>
      </c>
      <c r="H47" s="112" t="s">
        <v>8</v>
      </c>
      <c r="J47" s="36">
        <v>172094</v>
      </c>
      <c r="K47" s="36"/>
      <c r="L47" s="36">
        <v>25040</v>
      </c>
      <c r="M47" s="36"/>
      <c r="N47" s="36">
        <f t="shared" ref="N47:N108" si="3">P47-L47</f>
        <v>243760</v>
      </c>
      <c r="O47" s="36"/>
      <c r="P47" s="36">
        <v>268800</v>
      </c>
      <c r="Q47" s="36"/>
      <c r="R47" s="36">
        <v>268800</v>
      </c>
    </row>
    <row r="48" spans="1:18" s="7" customFormat="1" ht="12.75" hidden="1" customHeight="1" x14ac:dyDescent="0.2">
      <c r="A48" s="86" t="s">
        <v>38</v>
      </c>
      <c r="B48" s="111"/>
      <c r="C48" s="111"/>
      <c r="E48" s="112">
        <v>5</v>
      </c>
      <c r="F48" s="113" t="s">
        <v>12</v>
      </c>
      <c r="G48" s="112" t="s">
        <v>7</v>
      </c>
      <c r="H48" s="112" t="s">
        <v>10</v>
      </c>
      <c r="J48" s="36"/>
      <c r="K48" s="36"/>
      <c r="L48" s="36"/>
      <c r="M48" s="36"/>
      <c r="N48" s="36">
        <f t="shared" si="3"/>
        <v>0</v>
      </c>
      <c r="O48" s="36"/>
      <c r="P48" s="36"/>
      <c r="Q48" s="36"/>
      <c r="R48" s="36"/>
    </row>
    <row r="49" spans="1:18" s="7" customFormat="1" ht="12.75" customHeight="1" x14ac:dyDescent="0.2">
      <c r="A49" s="86" t="s">
        <v>39</v>
      </c>
      <c r="B49" s="111"/>
      <c r="C49" s="111"/>
      <c r="E49" s="112">
        <v>5</v>
      </c>
      <c r="F49" s="113" t="s">
        <v>12</v>
      </c>
      <c r="G49" s="112" t="s">
        <v>12</v>
      </c>
      <c r="H49" s="112" t="s">
        <v>8</v>
      </c>
      <c r="J49" s="36">
        <v>0</v>
      </c>
      <c r="K49" s="36"/>
      <c r="L49" s="36"/>
      <c r="M49" s="36"/>
      <c r="N49" s="36">
        <f t="shared" si="3"/>
        <v>320000</v>
      </c>
      <c r="O49" s="36"/>
      <c r="P49" s="36">
        <v>320000</v>
      </c>
      <c r="Q49" s="36"/>
      <c r="R49" s="36">
        <v>320000</v>
      </c>
    </row>
    <row r="50" spans="1:18" s="7" customFormat="1" ht="12.75" hidden="1" customHeight="1" x14ac:dyDescent="0.2">
      <c r="A50" s="86" t="s">
        <v>142</v>
      </c>
      <c r="B50" s="111"/>
      <c r="C50" s="111"/>
      <c r="D50" s="112"/>
      <c r="E50" s="112">
        <v>5</v>
      </c>
      <c r="F50" s="113" t="s">
        <v>12</v>
      </c>
      <c r="G50" s="112" t="s">
        <v>12</v>
      </c>
      <c r="H50" s="112" t="s">
        <v>10</v>
      </c>
      <c r="J50" s="36"/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41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10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customHeight="1" x14ac:dyDescent="0.2">
      <c r="A52" s="86" t="s">
        <v>42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17</v>
      </c>
      <c r="J52" s="36">
        <v>0</v>
      </c>
      <c r="K52" s="36"/>
      <c r="L52" s="36"/>
      <c r="M52" s="36"/>
      <c r="N52" s="36">
        <f t="shared" si="3"/>
        <v>50000</v>
      </c>
      <c r="O52" s="36"/>
      <c r="P52" s="36">
        <v>50000</v>
      </c>
      <c r="Q52" s="36"/>
      <c r="R52" s="36">
        <v>50000</v>
      </c>
    </row>
    <row r="53" spans="1:18" s="7" customFormat="1" ht="12.75" hidden="1" customHeight="1" x14ac:dyDescent="0.2">
      <c r="A53" s="86" t="s">
        <v>43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64</v>
      </c>
      <c r="J53" s="36"/>
      <c r="K53" s="36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88</v>
      </c>
      <c r="B54" s="111"/>
      <c r="C54" s="111"/>
      <c r="E54" s="112">
        <v>5</v>
      </c>
      <c r="F54" s="113" t="s">
        <v>12</v>
      </c>
      <c r="G54" s="112" t="s">
        <v>29</v>
      </c>
      <c r="H54" s="112" t="s">
        <v>60</v>
      </c>
      <c r="J54" s="36"/>
      <c r="K54" s="36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customHeight="1" x14ac:dyDescent="0.2">
      <c r="A55" s="86" t="s">
        <v>150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19</v>
      </c>
      <c r="J55" s="39">
        <v>145600</v>
      </c>
      <c r="K55" s="39"/>
      <c r="L55" s="36"/>
      <c r="M55" s="36"/>
      <c r="N55" s="36">
        <f t="shared" si="3"/>
        <v>420000</v>
      </c>
      <c r="O55" s="36"/>
      <c r="P55" s="36">
        <v>420000</v>
      </c>
      <c r="Q55" s="36"/>
      <c r="R55" s="36">
        <v>420000</v>
      </c>
    </row>
    <row r="56" spans="1:18" s="7" customFormat="1" ht="12.75" customHeight="1" x14ac:dyDescent="0.2">
      <c r="A56" s="86" t="s">
        <v>151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82</v>
      </c>
      <c r="J56" s="39">
        <v>65665</v>
      </c>
      <c r="K56" s="39"/>
      <c r="L56" s="36"/>
      <c r="M56" s="36"/>
      <c r="N56" s="36">
        <f t="shared" si="3"/>
        <v>75000</v>
      </c>
      <c r="O56" s="36"/>
      <c r="P56" s="36">
        <v>75000</v>
      </c>
      <c r="Q56" s="36"/>
      <c r="R56" s="36">
        <v>75000</v>
      </c>
    </row>
    <row r="57" spans="1:18" s="7" customFormat="1" ht="12.75" customHeight="1" x14ac:dyDescent="0.2">
      <c r="A57" s="86" t="s">
        <v>44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45</v>
      </c>
      <c r="J57" s="39">
        <v>118881.54</v>
      </c>
      <c r="K57" s="39"/>
      <c r="L57" s="36">
        <v>31284.13</v>
      </c>
      <c r="M57" s="36"/>
      <c r="N57" s="36">
        <f t="shared" si="3"/>
        <v>112715.87</v>
      </c>
      <c r="O57" s="36"/>
      <c r="P57" s="36">
        <v>144000</v>
      </c>
      <c r="Q57" s="36"/>
      <c r="R57" s="36">
        <v>144000</v>
      </c>
    </row>
    <row r="58" spans="1:18" s="7" customFormat="1" ht="12.75" customHeight="1" x14ac:dyDescent="0.2">
      <c r="A58" s="86" t="s">
        <v>152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102</v>
      </c>
      <c r="J58" s="36">
        <v>62010</v>
      </c>
      <c r="K58" s="36"/>
      <c r="L58" s="36"/>
      <c r="M58" s="36"/>
      <c r="N58" s="36">
        <f t="shared" si="3"/>
        <v>75000</v>
      </c>
      <c r="O58" s="36"/>
      <c r="P58" s="36">
        <v>75000</v>
      </c>
      <c r="Q58" s="36"/>
      <c r="R58" s="36">
        <v>75000</v>
      </c>
    </row>
    <row r="59" spans="1:18" s="7" customFormat="1" ht="12.75" hidden="1" customHeight="1" x14ac:dyDescent="0.2">
      <c r="A59" s="86" t="s">
        <v>153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146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46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47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154</v>
      </c>
      <c r="B61" s="111"/>
      <c r="C61" s="111"/>
      <c r="E61" s="112">
        <v>5</v>
      </c>
      <c r="F61" s="113" t="s">
        <v>12</v>
      </c>
      <c r="G61" s="112" t="s">
        <v>29</v>
      </c>
      <c r="H61" s="112" t="s">
        <v>15</v>
      </c>
      <c r="J61" s="36"/>
      <c r="K61" s="36"/>
      <c r="L61" s="36"/>
      <c r="M61" s="36"/>
      <c r="N61" s="36">
        <f t="shared" si="3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51</v>
      </c>
      <c r="B62" s="111"/>
      <c r="C62" s="111"/>
      <c r="D62" s="112"/>
      <c r="E62" s="112">
        <v>5</v>
      </c>
      <c r="F62" s="113" t="s">
        <v>12</v>
      </c>
      <c r="G62" s="112" t="s">
        <v>29</v>
      </c>
      <c r="H62" s="112" t="s">
        <v>24</v>
      </c>
      <c r="J62" s="36"/>
      <c r="K62" s="36"/>
      <c r="L62" s="36"/>
      <c r="M62" s="36"/>
      <c r="N62" s="36">
        <f t="shared" si="3"/>
        <v>0</v>
      </c>
      <c r="O62" s="36"/>
      <c r="P62" s="36"/>
      <c r="Q62" s="36"/>
      <c r="R62" s="36"/>
    </row>
    <row r="63" spans="1:18" s="7" customFormat="1" ht="12.75" customHeight="1" x14ac:dyDescent="0.2">
      <c r="A63" s="86" t="s">
        <v>48</v>
      </c>
      <c r="B63" s="111"/>
      <c r="C63" s="111"/>
      <c r="E63" s="112">
        <v>5</v>
      </c>
      <c r="F63" s="113" t="s">
        <v>12</v>
      </c>
      <c r="G63" s="112" t="s">
        <v>29</v>
      </c>
      <c r="H63" s="114" t="s">
        <v>49</v>
      </c>
      <c r="J63" s="36">
        <v>187250</v>
      </c>
      <c r="K63" s="36"/>
      <c r="L63" s="36">
        <v>187250</v>
      </c>
      <c r="M63" s="36"/>
      <c r="N63" s="36">
        <f t="shared" si="3"/>
        <v>52750</v>
      </c>
      <c r="O63" s="36"/>
      <c r="P63" s="36">
        <v>240000</v>
      </c>
      <c r="Q63" s="36"/>
      <c r="R63" s="36">
        <v>240000</v>
      </c>
    </row>
    <row r="64" spans="1:18" s="7" customFormat="1" ht="12.75" hidden="1" customHeight="1" x14ac:dyDescent="0.2">
      <c r="A64" s="86" t="s">
        <v>50</v>
      </c>
      <c r="B64" s="111"/>
      <c r="C64" s="111"/>
      <c r="D64" s="112"/>
      <c r="E64" s="112">
        <v>5</v>
      </c>
      <c r="F64" s="113" t="s">
        <v>12</v>
      </c>
      <c r="G64" s="112" t="s">
        <v>34</v>
      </c>
      <c r="H64" s="112" t="s">
        <v>8</v>
      </c>
      <c r="J64" s="36"/>
      <c r="K64" s="36"/>
      <c r="L64" s="36"/>
      <c r="M64" s="36"/>
      <c r="N64" s="36">
        <f t="shared" si="3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52</v>
      </c>
      <c r="B65" s="111"/>
      <c r="C65" s="111"/>
      <c r="D65" s="112"/>
      <c r="E65" s="112">
        <v>5</v>
      </c>
      <c r="F65" s="113" t="s">
        <v>12</v>
      </c>
      <c r="G65" s="112" t="s">
        <v>34</v>
      </c>
      <c r="H65" s="112" t="s">
        <v>10</v>
      </c>
      <c r="J65" s="36"/>
      <c r="K65" s="36"/>
      <c r="L65" s="36"/>
      <c r="M65" s="36"/>
      <c r="N65" s="36">
        <f t="shared" si="3"/>
        <v>0</v>
      </c>
      <c r="O65" s="36"/>
      <c r="P65" s="36"/>
      <c r="Q65" s="36"/>
      <c r="R65" s="36"/>
    </row>
    <row r="66" spans="1:18" s="7" customFormat="1" ht="12.75" hidden="1" customHeight="1" x14ac:dyDescent="0.2">
      <c r="A66" s="86" t="s">
        <v>48</v>
      </c>
      <c r="B66" s="111"/>
      <c r="C66" s="111"/>
      <c r="D66" s="112"/>
      <c r="E66" s="112">
        <v>5</v>
      </c>
      <c r="F66" s="113" t="s">
        <v>12</v>
      </c>
      <c r="G66" s="112" t="s">
        <v>29</v>
      </c>
      <c r="H66" s="114" t="s">
        <v>49</v>
      </c>
      <c r="J66" s="36"/>
      <c r="K66" s="36"/>
      <c r="L66" s="36"/>
      <c r="M66" s="36"/>
      <c r="N66" s="36">
        <f t="shared" si="3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53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8</v>
      </c>
      <c r="J67" s="36"/>
      <c r="K67" s="36"/>
      <c r="L67" s="36"/>
      <c r="M67" s="36"/>
      <c r="N67" s="36">
        <f t="shared" si="3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55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10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56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15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57</v>
      </c>
      <c r="B70" s="111"/>
      <c r="C70" s="111"/>
      <c r="E70" s="112">
        <v>5</v>
      </c>
      <c r="F70" s="113" t="s">
        <v>12</v>
      </c>
      <c r="G70" s="112" t="s">
        <v>54</v>
      </c>
      <c r="H70" s="112" t="s">
        <v>17</v>
      </c>
      <c r="J70" s="36"/>
      <c r="K70" s="36"/>
      <c r="L70" s="36"/>
      <c r="M70" s="36"/>
      <c r="N70" s="36">
        <f t="shared" si="3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58</v>
      </c>
      <c r="B71" s="111"/>
      <c r="C71" s="111"/>
      <c r="E71" s="112">
        <v>5</v>
      </c>
      <c r="F71" s="112" t="s">
        <v>12</v>
      </c>
      <c r="G71" s="112" t="s">
        <v>59</v>
      </c>
      <c r="H71" s="112" t="s">
        <v>60</v>
      </c>
      <c r="J71" s="36"/>
      <c r="K71" s="36"/>
      <c r="L71" s="36"/>
      <c r="M71" s="36"/>
      <c r="N71" s="36">
        <f t="shared" si="3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66</v>
      </c>
      <c r="B72" s="111"/>
      <c r="C72" s="111"/>
      <c r="E72" s="112">
        <v>5</v>
      </c>
      <c r="F72" s="113" t="s">
        <v>12</v>
      </c>
      <c r="G72" s="112" t="s">
        <v>67</v>
      </c>
      <c r="H72" s="112" t="s">
        <v>8</v>
      </c>
      <c r="J72" s="36"/>
      <c r="K72" s="36"/>
      <c r="L72" s="36"/>
      <c r="M72" s="36"/>
      <c r="N72" s="36">
        <f t="shared" si="3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61</v>
      </c>
      <c r="B73" s="111"/>
      <c r="C73" s="111"/>
      <c r="E73" s="112">
        <v>5</v>
      </c>
      <c r="F73" s="113" t="s">
        <v>12</v>
      </c>
      <c r="G73" s="112" t="s">
        <v>59</v>
      </c>
      <c r="H73" s="112" t="s">
        <v>8</v>
      </c>
      <c r="J73" s="36"/>
      <c r="K73" s="36"/>
      <c r="L73" s="36"/>
      <c r="M73" s="36"/>
      <c r="N73" s="36">
        <f t="shared" si="3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62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10</v>
      </c>
      <c r="J74" s="36"/>
      <c r="K74" s="36"/>
      <c r="L74" s="36"/>
      <c r="M74" s="36"/>
      <c r="N74" s="36">
        <f t="shared" si="3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63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64</v>
      </c>
      <c r="J75" s="36"/>
      <c r="K75" s="36"/>
      <c r="L75" s="36"/>
      <c r="M75" s="36"/>
      <c r="N75" s="36">
        <f t="shared" si="3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155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15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156</v>
      </c>
      <c r="B77" s="111"/>
      <c r="C77" s="111"/>
      <c r="E77" s="112">
        <v>5</v>
      </c>
      <c r="F77" s="112" t="s">
        <v>12</v>
      </c>
      <c r="G77" s="112" t="s">
        <v>59</v>
      </c>
      <c r="H77" s="112" t="s">
        <v>17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63</v>
      </c>
      <c r="B78" s="111"/>
      <c r="C78" s="111"/>
      <c r="E78" s="112">
        <v>5</v>
      </c>
      <c r="F78" s="113" t="s">
        <v>12</v>
      </c>
      <c r="G78" s="112" t="s">
        <v>59</v>
      </c>
      <c r="H78" s="112" t="s">
        <v>64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65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19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157</v>
      </c>
      <c r="B80" s="111"/>
      <c r="C80" s="111"/>
      <c r="E80" s="112">
        <v>5</v>
      </c>
      <c r="F80" s="113" t="s">
        <v>12</v>
      </c>
      <c r="G80" s="112" t="s">
        <v>93</v>
      </c>
      <c r="H80" s="112" t="s">
        <v>8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66</v>
      </c>
      <c r="B81" s="111"/>
      <c r="C81" s="111"/>
      <c r="E81" s="112">
        <v>5</v>
      </c>
      <c r="F81" s="113" t="s">
        <v>12</v>
      </c>
      <c r="G81" s="112" t="s">
        <v>67</v>
      </c>
      <c r="H81" s="112" t="s">
        <v>8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68</v>
      </c>
      <c r="B82" s="111"/>
      <c r="C82" s="111"/>
      <c r="E82" s="112">
        <v>5</v>
      </c>
      <c r="F82" s="113" t="s">
        <v>12</v>
      </c>
      <c r="G82" s="112" t="s">
        <v>67</v>
      </c>
      <c r="H82" s="112" t="s">
        <v>10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158</v>
      </c>
      <c r="B83" s="111"/>
      <c r="C83" s="111"/>
      <c r="E83" s="112">
        <v>5</v>
      </c>
      <c r="F83" s="113" t="s">
        <v>12</v>
      </c>
      <c r="G83" s="112" t="s">
        <v>70</v>
      </c>
      <c r="H83" s="112" t="s">
        <v>8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159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10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69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15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160</v>
      </c>
      <c r="B86" s="111"/>
      <c r="C86" s="111"/>
      <c r="E86" s="112">
        <v>5</v>
      </c>
      <c r="F86" s="113" t="s">
        <v>12</v>
      </c>
      <c r="G86" s="112" t="s">
        <v>163</v>
      </c>
      <c r="H86" s="112" t="s">
        <v>8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2" t="s">
        <v>163</v>
      </c>
      <c r="H87" s="114" t="s">
        <v>49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71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10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162</v>
      </c>
      <c r="B89" s="111"/>
      <c r="C89" s="111"/>
      <c r="E89" s="112">
        <v>5</v>
      </c>
      <c r="F89" s="113" t="s">
        <v>12</v>
      </c>
      <c r="G89" s="112" t="s">
        <v>163</v>
      </c>
      <c r="H89" s="112" t="s">
        <v>15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72</v>
      </c>
      <c r="B90" s="111"/>
      <c r="C90" s="111"/>
      <c r="E90" s="112">
        <v>5</v>
      </c>
      <c r="F90" s="113" t="s">
        <v>12</v>
      </c>
      <c r="G90" s="112" t="s">
        <v>70</v>
      </c>
      <c r="H90" s="112" t="s">
        <v>49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164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10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165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15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166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17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167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8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168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45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75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19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76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60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77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49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ref="N109:N112" si="4">P109-L109</f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4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4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0</v>
      </c>
      <c r="K112" s="36"/>
      <c r="L112" s="36"/>
      <c r="M112" s="36"/>
      <c r="N112" s="36">
        <f t="shared" si="4"/>
        <v>15000</v>
      </c>
      <c r="O112" s="36"/>
      <c r="P112" s="36">
        <v>15000</v>
      </c>
      <c r="Q112" s="36"/>
      <c r="R112" s="36">
        <v>15000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SUM(J47:J112)</f>
        <v>751500.54</v>
      </c>
      <c r="K113" s="162"/>
      <c r="L113" s="161">
        <f>SUM(L47:L112)</f>
        <v>243574.13</v>
      </c>
      <c r="M113" s="36"/>
      <c r="N113" s="161">
        <f>SUM(N47:N112)</f>
        <v>1364225.87</v>
      </c>
      <c r="O113" s="36"/>
      <c r="P113" s="161">
        <f>SUM(P47:P112)</f>
        <v>1607800</v>
      </c>
      <c r="Q113" s="36"/>
      <c r="R113" s="161">
        <f>SUM(R47:R112)</f>
        <v>1607800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</row>
    <row r="129" spans="1:8" s="7" customFormat="1" ht="12.75" hidden="1" customHeight="1" x14ac:dyDescent="0.2">
      <c r="A129" s="86" t="s">
        <v>92</v>
      </c>
      <c r="B129" s="111"/>
      <c r="C129" s="111"/>
      <c r="E129" s="112">
        <v>1</v>
      </c>
      <c r="F129" s="113" t="s">
        <v>93</v>
      </c>
      <c r="G129" s="112" t="s">
        <v>7</v>
      </c>
      <c r="H129" s="112" t="s">
        <v>8</v>
      </c>
    </row>
    <row r="130" spans="1: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</row>
    <row r="131" spans="1: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</row>
    <row r="132" spans="1:8" s="7" customFormat="1" ht="12.75" hidden="1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</row>
    <row r="133" spans="1:8" s="7" customFormat="1" ht="12.75" hidden="1" customHeight="1" x14ac:dyDescent="0.2">
      <c r="A133" s="86" t="s">
        <v>97</v>
      </c>
      <c r="B133" s="111"/>
      <c r="C133" s="111"/>
      <c r="E133" s="112">
        <v>1</v>
      </c>
      <c r="F133" s="113" t="s">
        <v>93</v>
      </c>
      <c r="G133" s="112" t="s">
        <v>93</v>
      </c>
      <c r="H133" s="112" t="s">
        <v>8</v>
      </c>
    </row>
    <row r="134" spans="1:8" s="7" customFormat="1" ht="12.75" hidden="1" customHeight="1" x14ac:dyDescent="0.2">
      <c r="A134" s="86" t="s">
        <v>98</v>
      </c>
      <c r="B134" s="116"/>
      <c r="C134" s="116"/>
      <c r="E134" s="112">
        <v>1</v>
      </c>
      <c r="F134" s="113" t="s">
        <v>93</v>
      </c>
      <c r="G134" s="112" t="s">
        <v>54</v>
      </c>
      <c r="H134" s="112" t="s">
        <v>15</v>
      </c>
    </row>
    <row r="135" spans="1:8" s="7" customFormat="1" ht="12.75" hidden="1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</row>
    <row r="136" spans="1: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</row>
    <row r="137" spans="1:8" s="7" customFormat="1" ht="12.7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</row>
    <row r="138" spans="1: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</row>
    <row r="139" spans="1: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</row>
    <row r="140" spans="1: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</row>
    <row r="141" spans="1: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</row>
    <row r="142" spans="1: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</row>
    <row r="143" spans="1: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</row>
    <row r="144" spans="1: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</row>
    <row r="145" spans="1:18" s="7" customFormat="1" ht="12.75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12497169.989999998</v>
      </c>
      <c r="K150" s="23"/>
      <c r="L150" s="29">
        <f>L43+L113+L124+L148</f>
        <v>5520344.4199999999</v>
      </c>
      <c r="N150" s="29">
        <f>N43+N113+N124+N148</f>
        <v>10722188.830000002</v>
      </c>
      <c r="P150" s="29">
        <f>P43+P113+P124+P148</f>
        <v>16242533.25</v>
      </c>
      <c r="R150" s="29">
        <f>R43+R113+R124+R148</f>
        <v>16846190.649999999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5" t="s">
        <v>133</v>
      </c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48" t="s">
        <v>135</v>
      </c>
    </row>
    <row r="155" spans="1:18" x14ac:dyDescent="0.2">
      <c r="A155" s="75"/>
      <c r="D155" s="33"/>
      <c r="E155" s="32"/>
      <c r="G155" s="31"/>
      <c r="I155" s="31"/>
      <c r="J155" s="168"/>
      <c r="K155" s="168"/>
      <c r="L155" s="168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168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6" t="s">
        <v>213</v>
      </c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58" t="s">
        <v>137</v>
      </c>
    </row>
    <row r="159" spans="1:18" x14ac:dyDescent="0.2">
      <c r="A159" s="74" t="s">
        <v>219</v>
      </c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46" activePane="bottomRight" state="frozen"/>
      <selection pane="bottomRight" activeCell="A113" sqref="A113:C113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8" activePane="bottomRight" state="frozen"/>
      <selection pane="bottomRight" activeCell="N31" sqref="N31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45" activePane="bottomRight" state="frozen"/>
      <selection pane="bottomRight" activeCell="C150" sqref="C150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63" activePane="bottomRight" state="frozen"/>
      <selection pane="bottomRight" activeCell="E163" sqref="E163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9" activePane="bottomRight" state="frozen"/>
      <selection pane="bottomRight" activeCell="R112" sqref="R11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5" max="1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63"/>
  <sheetViews>
    <sheetView view="pageBreakPreview" zoomScaleSheetLayoutView="100" workbookViewId="0">
      <pane xSplit="1" ySplit="14" topLeftCell="B146" activePane="bottomRight" state="frozen"/>
      <selection pane="topRight" activeCell="B1" sqref="B1"/>
      <selection pane="bottomLeft" activeCell="A15" sqref="A15"/>
      <selection pane="bottomRight" activeCell="R97" sqref="R9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220</v>
      </c>
      <c r="H4" s="3"/>
      <c r="I4" s="3"/>
      <c r="R4" s="77">
        <v>8751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221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28735880.66</v>
      </c>
      <c r="K17" s="13"/>
      <c r="L17" s="36">
        <v>14279872.300000001</v>
      </c>
      <c r="M17" s="36"/>
      <c r="N17" s="36">
        <f t="shared" ref="N17:N22" si="0">P17-L17</f>
        <v>22182140.879999999</v>
      </c>
      <c r="O17" s="36"/>
      <c r="P17" s="36">
        <v>36462013.18</v>
      </c>
      <c r="Q17" s="36"/>
      <c r="R17" s="36">
        <v>38066179.740000002</v>
      </c>
    </row>
    <row r="18" spans="1:18" s="7" customFormat="1" ht="12.75" hidden="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/>
      <c r="K18" s="39"/>
      <c r="L18" s="36"/>
      <c r="M18" s="36"/>
      <c r="N18" s="36">
        <f t="shared" si="0"/>
        <v>0</v>
      </c>
      <c r="O18" s="36"/>
      <c r="P18" s="36"/>
      <c r="Q18" s="36"/>
      <c r="R18" s="36"/>
    </row>
    <row r="19" spans="1:18" s="7" customFormat="1" ht="12.75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2610393.42</v>
      </c>
      <c r="K19" s="13"/>
      <c r="L19" s="36">
        <v>1292805.27</v>
      </c>
      <c r="M19" s="36"/>
      <c r="N19" s="36">
        <f t="shared" si="0"/>
        <v>2019194.73</v>
      </c>
      <c r="O19" s="36"/>
      <c r="P19" s="36">
        <v>3312000</v>
      </c>
      <c r="Q19" s="36"/>
      <c r="R19" s="36">
        <v>3312000</v>
      </c>
    </row>
    <row r="20" spans="1:18" s="7" customFormat="1" ht="12.75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102000</v>
      </c>
      <c r="K20" s="13"/>
      <c r="L20" s="36">
        <v>51000</v>
      </c>
      <c r="M20" s="36"/>
      <c r="N20" s="36">
        <f t="shared" si="0"/>
        <v>141000</v>
      </c>
      <c r="O20" s="36"/>
      <c r="P20" s="36">
        <v>192000</v>
      </c>
      <c r="Q20" s="36"/>
      <c r="R20" s="36">
        <v>192000</v>
      </c>
    </row>
    <row r="21" spans="1:18" s="7" customFormat="1" ht="12.75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0</v>
      </c>
      <c r="K21" s="13"/>
      <c r="L21" s="36"/>
      <c r="M21" s="36"/>
      <c r="N21" s="36">
        <f t="shared" si="0"/>
        <v>90000</v>
      </c>
      <c r="O21" s="36"/>
      <c r="P21" s="36">
        <v>90000</v>
      </c>
      <c r="Q21" s="36"/>
      <c r="R21" s="36">
        <v>90000</v>
      </c>
    </row>
    <row r="22" spans="1:18" s="7" customFormat="1" ht="12.75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642000</v>
      </c>
      <c r="K22" s="13"/>
      <c r="L22" s="36">
        <v>612000</v>
      </c>
      <c r="M22" s="36"/>
      <c r="N22" s="36">
        <f t="shared" si="0"/>
        <v>216000</v>
      </c>
      <c r="O22" s="36"/>
      <c r="P22" s="36">
        <v>828000</v>
      </c>
      <c r="Q22" s="36"/>
      <c r="R22" s="36">
        <v>828000</v>
      </c>
    </row>
    <row r="23" spans="1:18" s="7" customFormat="1" ht="12.75" hidden="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20</v>
      </c>
      <c r="B24" s="111"/>
      <c r="C24" s="111"/>
      <c r="E24" s="112">
        <v>5</v>
      </c>
      <c r="F24" s="113" t="s">
        <v>7</v>
      </c>
      <c r="G24" s="112" t="s">
        <v>12</v>
      </c>
      <c r="H24" s="112" t="s">
        <v>82</v>
      </c>
      <c r="J24" s="13"/>
      <c r="K24" s="13"/>
      <c r="L24" s="36"/>
      <c r="M24" s="36"/>
      <c r="N24" s="36"/>
      <c r="O24" s="36"/>
      <c r="P24" s="36"/>
      <c r="Q24" s="36"/>
      <c r="R24" s="36"/>
    </row>
    <row r="25" spans="1:18" s="7" customFormat="1" ht="12.75" hidden="1" customHeight="1" x14ac:dyDescent="0.2">
      <c r="A25" s="86" t="s">
        <v>143</v>
      </c>
      <c r="B25" s="111"/>
      <c r="C25" s="111"/>
      <c r="E25" s="112">
        <v>5</v>
      </c>
      <c r="F25" s="113" t="s">
        <v>7</v>
      </c>
      <c r="G25" s="112" t="s">
        <v>12</v>
      </c>
      <c r="H25" s="112" t="s">
        <v>45</v>
      </c>
      <c r="J25" s="13"/>
      <c r="K25" s="13"/>
      <c r="L25" s="36"/>
      <c r="M25" s="36"/>
      <c r="N25" s="36"/>
      <c r="O25" s="36"/>
      <c r="P25" s="36"/>
      <c r="Q25" s="36"/>
      <c r="R25" s="36"/>
    </row>
    <row r="26" spans="1:18" s="7" customFormat="1" ht="12.75" hidden="1" customHeight="1" x14ac:dyDescent="0.2">
      <c r="A26" s="86" t="s">
        <v>144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60</v>
      </c>
      <c r="J26" s="13"/>
      <c r="K26" s="13"/>
      <c r="L26" s="36"/>
      <c r="M26" s="36"/>
      <c r="N26" s="36">
        <f t="shared" ref="N26:N42" si="1">P26-L26</f>
        <v>0</v>
      </c>
      <c r="O26" s="36"/>
      <c r="P26" s="36"/>
      <c r="Q26" s="36"/>
      <c r="R26" s="36"/>
    </row>
    <row r="27" spans="1:18" s="7" customFormat="1" ht="12.75" hidden="1" customHeight="1" x14ac:dyDescent="0.2">
      <c r="A27" s="86" t="s">
        <v>18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2" t="s">
        <v>19</v>
      </c>
      <c r="J27" s="13"/>
      <c r="K27" s="13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18" s="7" customFormat="1" ht="12.75" hidden="1" customHeight="1" x14ac:dyDescent="0.2">
      <c r="A28" s="86" t="s">
        <v>21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2" t="s">
        <v>102</v>
      </c>
      <c r="J28" s="13"/>
      <c r="K28" s="13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18" s="7" customFormat="1" ht="13.5" customHeight="1" x14ac:dyDescent="0.2">
      <c r="A29" s="86" t="s">
        <v>22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146</v>
      </c>
      <c r="J29" s="13"/>
      <c r="K29" s="13"/>
      <c r="L29" s="36">
        <v>414500</v>
      </c>
      <c r="M29" s="36"/>
      <c r="N29" s="36">
        <f t="shared" si="1"/>
        <v>204500</v>
      </c>
      <c r="O29" s="36"/>
      <c r="P29" s="36">
        <v>619000</v>
      </c>
      <c r="Q29" s="36"/>
      <c r="R29" s="36"/>
    </row>
    <row r="30" spans="1:18" s="7" customFormat="1" ht="12.75" hidden="1" customHeight="1" x14ac:dyDescent="0.2">
      <c r="A30" s="86" t="s">
        <v>145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47</v>
      </c>
      <c r="J30" s="36"/>
      <c r="K30" s="36"/>
      <c r="L30" s="36"/>
      <c r="M30" s="36"/>
      <c r="N30" s="36">
        <f t="shared" si="1"/>
        <v>0</v>
      </c>
      <c r="O30" s="36"/>
      <c r="P30" s="36"/>
      <c r="Q30" s="36"/>
      <c r="R30" s="36"/>
    </row>
    <row r="31" spans="1:18" s="7" customFormat="1" ht="12.75" hidden="1" customHeight="1" x14ac:dyDescent="0.2">
      <c r="A31" s="86" t="s">
        <v>23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24</v>
      </c>
      <c r="J31" s="36"/>
      <c r="K31" s="36"/>
      <c r="L31" s="36"/>
      <c r="M31" s="36"/>
      <c r="N31" s="36">
        <f t="shared" si="1"/>
        <v>0</v>
      </c>
      <c r="O31" s="36"/>
      <c r="P31" s="36"/>
      <c r="Q31" s="36"/>
      <c r="R31" s="36"/>
    </row>
    <row r="32" spans="1:18" s="7" customFormat="1" ht="12.75" customHeight="1" x14ac:dyDescent="0.2">
      <c r="A32" s="86" t="s">
        <v>27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28</v>
      </c>
      <c r="J32" s="36">
        <v>2494225.7000000002</v>
      </c>
      <c r="K32" s="36"/>
      <c r="L32" s="36"/>
      <c r="M32" s="36"/>
      <c r="N32" s="36">
        <f>P32-L32</f>
        <v>3051507</v>
      </c>
      <c r="O32" s="36"/>
      <c r="P32" s="36">
        <v>3051507</v>
      </c>
      <c r="Q32" s="36"/>
      <c r="R32" s="36">
        <v>3173981</v>
      </c>
    </row>
    <row r="33" spans="1:18" s="7" customFormat="1" ht="12.75" customHeight="1" x14ac:dyDescent="0.2">
      <c r="A33" s="86" t="s">
        <v>25</v>
      </c>
      <c r="B33" s="111"/>
      <c r="C33" s="111"/>
      <c r="D33" s="112"/>
      <c r="E33" s="112">
        <v>5</v>
      </c>
      <c r="F33" s="113" t="s">
        <v>7</v>
      </c>
      <c r="G33" s="112" t="s">
        <v>12</v>
      </c>
      <c r="H33" s="114" t="s">
        <v>26</v>
      </c>
      <c r="J33" s="36">
        <v>564500</v>
      </c>
      <c r="K33" s="36"/>
      <c r="L33" s="36"/>
      <c r="M33" s="36"/>
      <c r="N33" s="36">
        <f t="shared" si="1"/>
        <v>690000</v>
      </c>
      <c r="O33" s="36"/>
      <c r="P33" s="36">
        <v>690000</v>
      </c>
      <c r="Q33" s="36"/>
      <c r="R33" s="36">
        <v>690000</v>
      </c>
    </row>
    <row r="34" spans="1:18" s="7" customFormat="1" ht="12.75" customHeight="1" x14ac:dyDescent="0.2">
      <c r="A34" s="86" t="s">
        <v>140</v>
      </c>
      <c r="B34" s="111"/>
      <c r="C34" s="111"/>
      <c r="D34" s="112"/>
      <c r="E34" s="112">
        <v>5</v>
      </c>
      <c r="F34" s="113" t="s">
        <v>7</v>
      </c>
      <c r="G34" s="112" t="s">
        <v>12</v>
      </c>
      <c r="H34" s="114" t="s">
        <v>49</v>
      </c>
      <c r="J34" s="13">
        <v>2357646</v>
      </c>
      <c r="K34" s="13"/>
      <c r="L34" s="36">
        <v>2365964</v>
      </c>
      <c r="M34" s="36"/>
      <c r="N34" s="36">
        <f>P34-L34</f>
        <v>685543</v>
      </c>
      <c r="O34" s="36"/>
      <c r="P34" s="36">
        <v>3051507</v>
      </c>
      <c r="Q34" s="36"/>
      <c r="R34" s="36">
        <v>3173981</v>
      </c>
    </row>
    <row r="35" spans="1:18" s="7" customFormat="1" ht="12.75" customHeight="1" x14ac:dyDescent="0.2">
      <c r="A35" s="86" t="s">
        <v>263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8</v>
      </c>
      <c r="J35" s="36">
        <v>3449545.75</v>
      </c>
      <c r="K35" s="36"/>
      <c r="L35" s="36">
        <v>1713284.22</v>
      </c>
      <c r="M35" s="36"/>
      <c r="N35" s="36">
        <f t="shared" si="1"/>
        <v>2680885.8600000003</v>
      </c>
      <c r="O35" s="36"/>
      <c r="P35" s="36">
        <v>4394170.08</v>
      </c>
      <c r="Q35" s="36"/>
      <c r="R35" s="36">
        <v>4570532.6399999997</v>
      </c>
    </row>
    <row r="36" spans="1:18" s="7" customFormat="1" ht="12.75" customHeight="1" x14ac:dyDescent="0.2">
      <c r="A36" s="86" t="s">
        <v>30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10</v>
      </c>
      <c r="J36" s="36">
        <v>131600</v>
      </c>
      <c r="K36" s="36"/>
      <c r="L36" s="36">
        <v>64700</v>
      </c>
      <c r="M36" s="36"/>
      <c r="N36" s="36">
        <f t="shared" si="1"/>
        <v>100900</v>
      </c>
      <c r="O36" s="36"/>
      <c r="P36" s="36">
        <v>165600</v>
      </c>
      <c r="Q36" s="36"/>
      <c r="R36" s="36">
        <v>165600</v>
      </c>
    </row>
    <row r="37" spans="1:18" s="7" customFormat="1" ht="12.75" customHeight="1" x14ac:dyDescent="0.2">
      <c r="A37" s="86" t="s">
        <v>31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15</v>
      </c>
      <c r="J37" s="36">
        <v>354044.31</v>
      </c>
      <c r="K37" s="36"/>
      <c r="L37" s="36">
        <v>205941.46</v>
      </c>
      <c r="M37" s="36"/>
      <c r="N37" s="36">
        <f t="shared" si="1"/>
        <v>321589.58000000007</v>
      </c>
      <c r="O37" s="36"/>
      <c r="P37" s="36">
        <v>527531.04</v>
      </c>
      <c r="Q37" s="36"/>
      <c r="R37" s="36">
        <v>651628.74</v>
      </c>
    </row>
    <row r="38" spans="1:18" s="7" customFormat="1" ht="12.75" customHeight="1" x14ac:dyDescent="0.2">
      <c r="A38" s="86" t="s">
        <v>32</v>
      </c>
      <c r="B38" s="111"/>
      <c r="C38" s="111"/>
      <c r="D38" s="112"/>
      <c r="E38" s="112">
        <v>5</v>
      </c>
      <c r="F38" s="113" t="s">
        <v>7</v>
      </c>
      <c r="G38" s="112" t="s">
        <v>29</v>
      </c>
      <c r="H38" s="112" t="s">
        <v>17</v>
      </c>
      <c r="J38" s="36">
        <v>131419.85</v>
      </c>
      <c r="K38" s="36"/>
      <c r="L38" s="36">
        <v>64700</v>
      </c>
      <c r="M38" s="36"/>
      <c r="N38" s="36">
        <f t="shared" si="1"/>
        <v>100900</v>
      </c>
      <c r="O38" s="36"/>
      <c r="P38" s="36">
        <v>165600</v>
      </c>
      <c r="Q38" s="36"/>
      <c r="R38" s="36">
        <v>165600</v>
      </c>
    </row>
    <row r="39" spans="1:18" s="7" customFormat="1" ht="12.75" hidden="1" customHeight="1" x14ac:dyDescent="0.2">
      <c r="A39" s="86" t="s">
        <v>147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8</v>
      </c>
      <c r="J39" s="36"/>
      <c r="K39" s="36"/>
      <c r="L39" s="36"/>
      <c r="M39" s="36"/>
      <c r="N39" s="36">
        <f t="shared" si="1"/>
        <v>0</v>
      </c>
      <c r="O39" s="36"/>
      <c r="P39" s="36"/>
      <c r="Q39" s="36"/>
      <c r="R39" s="36"/>
    </row>
    <row r="40" spans="1:18" s="7" customFormat="1" ht="12.75" hidden="1" customHeight="1" x14ac:dyDescent="0.2">
      <c r="A40" s="86" t="s">
        <v>148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10</v>
      </c>
      <c r="J40" s="36"/>
      <c r="K40" s="36"/>
      <c r="L40" s="36"/>
      <c r="M40" s="36"/>
      <c r="N40" s="36">
        <f t="shared" si="1"/>
        <v>0</v>
      </c>
      <c r="O40" s="36"/>
      <c r="P40" s="36"/>
      <c r="Q40" s="36"/>
      <c r="R40" s="36"/>
    </row>
    <row r="41" spans="1:18" s="7" customFormat="1" ht="12.75" customHeight="1" x14ac:dyDescent="0.2">
      <c r="A41" s="86" t="s">
        <v>33</v>
      </c>
      <c r="B41" s="111"/>
      <c r="C41" s="111"/>
      <c r="D41" s="112"/>
      <c r="E41" s="112">
        <v>5</v>
      </c>
      <c r="F41" s="113" t="s">
        <v>7</v>
      </c>
      <c r="G41" s="112" t="s">
        <v>34</v>
      </c>
      <c r="H41" s="112" t="s">
        <v>15</v>
      </c>
      <c r="J41" s="36">
        <v>1627734.63</v>
      </c>
      <c r="K41" s="36"/>
      <c r="L41" s="36">
        <v>1100738.8899999999</v>
      </c>
      <c r="M41" s="36"/>
      <c r="N41" s="36">
        <f t="shared" si="1"/>
        <v>5355105.17</v>
      </c>
      <c r="O41" s="36"/>
      <c r="P41" s="36">
        <v>6455844.0599999996</v>
      </c>
      <c r="Q41" s="36"/>
      <c r="R41" s="36"/>
    </row>
    <row r="42" spans="1:18" s="7" customFormat="1" ht="12.75" customHeight="1" x14ac:dyDescent="0.2">
      <c r="A42" s="86" t="s">
        <v>35</v>
      </c>
      <c r="B42" s="111"/>
      <c r="C42" s="111"/>
      <c r="D42" s="112"/>
      <c r="E42" s="112">
        <v>5</v>
      </c>
      <c r="F42" s="113" t="s">
        <v>7</v>
      </c>
      <c r="G42" s="112" t="s">
        <v>34</v>
      </c>
      <c r="H42" s="112" t="s">
        <v>49</v>
      </c>
      <c r="J42" s="36">
        <v>650000</v>
      </c>
      <c r="K42" s="36"/>
      <c r="L42" s="36"/>
      <c r="M42" s="36"/>
      <c r="N42" s="36">
        <f t="shared" si="1"/>
        <v>790000</v>
      </c>
      <c r="O42" s="36"/>
      <c r="P42" s="36">
        <v>790000</v>
      </c>
      <c r="Q42" s="36"/>
      <c r="R42" s="36">
        <v>690000</v>
      </c>
    </row>
    <row r="43" spans="1:18" s="7" customFormat="1" ht="12.75" hidden="1" customHeight="1" x14ac:dyDescent="0.2">
      <c r="A43" s="86" t="s">
        <v>149</v>
      </c>
      <c r="B43" s="111"/>
      <c r="C43" s="111"/>
      <c r="D43" s="112"/>
      <c r="E43" s="112">
        <v>5</v>
      </c>
      <c r="F43" s="113" t="s">
        <v>7</v>
      </c>
      <c r="G43" s="112" t="s">
        <v>29</v>
      </c>
      <c r="H43" s="112" t="s">
        <v>64</v>
      </c>
      <c r="J43" s="36"/>
      <c r="K43" s="36"/>
      <c r="L43" s="36"/>
      <c r="M43" s="36"/>
      <c r="N43" s="36"/>
      <c r="O43" s="36"/>
      <c r="P43" s="36"/>
      <c r="Q43" s="36"/>
      <c r="R43" s="36"/>
    </row>
    <row r="44" spans="1:18" s="7" customFormat="1" ht="18.95" customHeight="1" x14ac:dyDescent="0.2">
      <c r="A44" s="63" t="s">
        <v>36</v>
      </c>
      <c r="B44" s="26"/>
      <c r="C44" s="26"/>
      <c r="J44" s="161">
        <f>SUM(J17:J43)</f>
        <v>43850990.320000008</v>
      </c>
      <c r="K44" s="162"/>
      <c r="L44" s="161">
        <f>SUM(L17:L43)</f>
        <v>22165506.140000001</v>
      </c>
      <c r="M44" s="36"/>
      <c r="N44" s="161">
        <f>SUM(N17:N43)</f>
        <v>38629266.219999999</v>
      </c>
      <c r="O44" s="36"/>
      <c r="P44" s="161">
        <f>SUM(P17:P43)</f>
        <v>60794772.359999999</v>
      </c>
      <c r="Q44" s="36"/>
      <c r="R44" s="170">
        <f>SUM(R17:R43)</f>
        <v>55769503.120000005</v>
      </c>
    </row>
    <row r="45" spans="1:18" s="7" customFormat="1" ht="6" customHeight="1" x14ac:dyDescent="0.2">
      <c r="A45" s="17"/>
      <c r="B45" s="17"/>
      <c r="C45" s="17"/>
      <c r="J45" s="162"/>
      <c r="K45" s="162"/>
      <c r="L45" s="36"/>
      <c r="M45" s="36"/>
      <c r="N45" s="36"/>
      <c r="O45" s="36"/>
      <c r="P45" s="36"/>
      <c r="Q45" s="36"/>
      <c r="R45" s="36"/>
    </row>
    <row r="46" spans="1:18" s="7" customFormat="1" ht="12.75" customHeight="1" x14ac:dyDescent="0.2">
      <c r="A46" s="68" t="s">
        <v>188</v>
      </c>
      <c r="B46" s="12"/>
      <c r="C46" s="12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7" customFormat="1" ht="6" customHeight="1" x14ac:dyDescent="0.2">
      <c r="A47" s="68"/>
      <c r="B47" s="12"/>
      <c r="C47" s="12"/>
      <c r="J47" s="36"/>
      <c r="K47" s="36"/>
      <c r="L47" s="36"/>
      <c r="M47" s="36"/>
      <c r="N47" s="36"/>
      <c r="O47" s="36"/>
      <c r="P47" s="36"/>
      <c r="Q47" s="36"/>
      <c r="R47" s="36"/>
    </row>
    <row r="48" spans="1:18" s="7" customFormat="1" ht="12.75" customHeight="1" x14ac:dyDescent="0.2">
      <c r="A48" s="86" t="s">
        <v>37</v>
      </c>
      <c r="B48" s="111"/>
      <c r="C48" s="111"/>
      <c r="D48" s="112"/>
      <c r="E48" s="112">
        <v>5</v>
      </c>
      <c r="F48" s="113" t="s">
        <v>12</v>
      </c>
      <c r="G48" s="112" t="s">
        <v>7</v>
      </c>
      <c r="H48" s="112" t="s">
        <v>8</v>
      </c>
      <c r="J48" s="36">
        <v>108010</v>
      </c>
      <c r="K48" s="36"/>
      <c r="L48" s="36"/>
      <c r="M48" s="36"/>
      <c r="N48" s="36">
        <f t="shared" ref="N48:N78" si="2">P48-L48</f>
        <v>184800</v>
      </c>
      <c r="O48" s="36"/>
      <c r="P48" s="36">
        <v>184800</v>
      </c>
      <c r="Q48" s="36"/>
      <c r="R48" s="36">
        <v>184800</v>
      </c>
    </row>
    <row r="49" spans="1:18" s="7" customFormat="1" ht="12.75" hidden="1" customHeight="1" x14ac:dyDescent="0.2">
      <c r="A49" s="86" t="s">
        <v>38</v>
      </c>
      <c r="B49" s="111"/>
      <c r="C49" s="111"/>
      <c r="E49" s="112">
        <v>5</v>
      </c>
      <c r="F49" s="113" t="s">
        <v>12</v>
      </c>
      <c r="G49" s="112" t="s">
        <v>7</v>
      </c>
      <c r="H49" s="112" t="s">
        <v>10</v>
      </c>
      <c r="J49" s="36"/>
      <c r="K49" s="36"/>
      <c r="L49" s="36"/>
      <c r="M49" s="36"/>
      <c r="N49" s="36">
        <f t="shared" si="2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39</v>
      </c>
      <c r="B50" s="111"/>
      <c r="C50" s="111"/>
      <c r="E50" s="112">
        <v>5</v>
      </c>
      <c r="F50" s="113" t="s">
        <v>12</v>
      </c>
      <c r="G50" s="112" t="s">
        <v>12</v>
      </c>
      <c r="H50" s="112" t="s">
        <v>8</v>
      </c>
      <c r="J50" s="36">
        <v>0</v>
      </c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142</v>
      </c>
      <c r="B51" s="111"/>
      <c r="C51" s="111"/>
      <c r="D51" s="112"/>
      <c r="E51" s="112">
        <v>5</v>
      </c>
      <c r="F51" s="113" t="s">
        <v>12</v>
      </c>
      <c r="G51" s="112" t="s">
        <v>12</v>
      </c>
      <c r="H51" s="112" t="s">
        <v>10</v>
      </c>
      <c r="J51" s="36"/>
      <c r="K51" s="36"/>
      <c r="L51" s="36"/>
      <c r="M51" s="36"/>
      <c r="N51" s="36">
        <f t="shared" si="2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40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8</v>
      </c>
      <c r="J52" s="36"/>
      <c r="K52" s="36"/>
      <c r="L52" s="36"/>
      <c r="M52" s="36"/>
      <c r="N52" s="36"/>
      <c r="O52" s="36"/>
      <c r="P52" s="36"/>
      <c r="Q52" s="36"/>
      <c r="R52" s="36"/>
    </row>
    <row r="53" spans="1:18" s="7" customFormat="1" ht="12.75" hidden="1" customHeight="1" x14ac:dyDescent="0.2">
      <c r="A53" s="86" t="s">
        <v>41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10</v>
      </c>
      <c r="J53" s="36"/>
      <c r="K53" s="36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42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17</v>
      </c>
      <c r="J54" s="36"/>
      <c r="K54" s="36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43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64</v>
      </c>
      <c r="J55" s="36"/>
      <c r="K55" s="36"/>
      <c r="L55" s="36"/>
      <c r="M55" s="36"/>
      <c r="N55" s="36">
        <f t="shared" si="2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88</v>
      </c>
      <c r="B56" s="111"/>
      <c r="C56" s="111"/>
      <c r="E56" s="112">
        <v>5</v>
      </c>
      <c r="F56" s="113" t="s">
        <v>12</v>
      </c>
      <c r="G56" s="112" t="s">
        <v>29</v>
      </c>
      <c r="H56" s="112" t="s">
        <v>60</v>
      </c>
      <c r="J56" s="36"/>
      <c r="K56" s="36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150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19</v>
      </c>
      <c r="J57" s="39"/>
      <c r="K57" s="39"/>
      <c r="L57" s="36"/>
      <c r="M57" s="36"/>
      <c r="N57" s="36">
        <f t="shared" si="2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151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82</v>
      </c>
      <c r="J58" s="39"/>
      <c r="K58" s="39"/>
      <c r="L58" s="36"/>
      <c r="M58" s="36"/>
      <c r="N58" s="36">
        <f t="shared" si="2"/>
        <v>0</v>
      </c>
      <c r="O58" s="36"/>
      <c r="P58" s="36"/>
      <c r="Q58" s="36"/>
      <c r="R58" s="36"/>
    </row>
    <row r="59" spans="1:18" s="7" customFormat="1" ht="12.75" customHeight="1" x14ac:dyDescent="0.2">
      <c r="A59" s="86" t="s">
        <v>44</v>
      </c>
      <c r="B59" s="111"/>
      <c r="C59" s="111"/>
      <c r="D59" s="112"/>
      <c r="E59" s="112">
        <v>5</v>
      </c>
      <c r="F59" s="113" t="s">
        <v>12</v>
      </c>
      <c r="G59" s="112" t="s">
        <v>29</v>
      </c>
      <c r="H59" s="112" t="s">
        <v>45</v>
      </c>
      <c r="J59" s="39">
        <v>1261022.6599999999</v>
      </c>
      <c r="K59" s="39"/>
      <c r="L59" s="36">
        <v>488983.63</v>
      </c>
      <c r="M59" s="36"/>
      <c r="N59" s="36">
        <f t="shared" si="2"/>
        <v>1053716.3700000001</v>
      </c>
      <c r="O59" s="36"/>
      <c r="P59" s="36">
        <v>1542700</v>
      </c>
      <c r="Q59" s="36"/>
      <c r="R59" s="36">
        <v>1542700</v>
      </c>
    </row>
    <row r="60" spans="1:18" s="7" customFormat="1" ht="12.75" hidden="1" customHeight="1" x14ac:dyDescent="0.2">
      <c r="A60" s="86" t="s">
        <v>152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102</v>
      </c>
      <c r="J60" s="36"/>
      <c r="K60" s="36"/>
      <c r="L60" s="36"/>
      <c r="M60" s="36"/>
      <c r="N60" s="36">
        <f t="shared" si="2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153</v>
      </c>
      <c r="B61" s="111"/>
      <c r="C61" s="111"/>
      <c r="D61" s="112"/>
      <c r="E61" s="112">
        <v>5</v>
      </c>
      <c r="F61" s="113" t="s">
        <v>12</v>
      </c>
      <c r="G61" s="112" t="s">
        <v>29</v>
      </c>
      <c r="H61" s="112" t="s">
        <v>146</v>
      </c>
      <c r="J61" s="36"/>
      <c r="K61" s="36"/>
      <c r="L61" s="36"/>
      <c r="M61" s="36"/>
      <c r="N61" s="36">
        <f t="shared" si="2"/>
        <v>0</v>
      </c>
      <c r="O61" s="36"/>
      <c r="P61" s="36"/>
      <c r="Q61" s="36"/>
      <c r="R61" s="36"/>
    </row>
    <row r="62" spans="1:18" s="7" customFormat="1" ht="12.75" hidden="1" customHeight="1" x14ac:dyDescent="0.2">
      <c r="A62" s="86" t="s">
        <v>46</v>
      </c>
      <c r="B62" s="111"/>
      <c r="C62" s="111"/>
      <c r="D62" s="112"/>
      <c r="E62" s="112">
        <v>5</v>
      </c>
      <c r="F62" s="113" t="s">
        <v>12</v>
      </c>
      <c r="G62" s="112" t="s">
        <v>29</v>
      </c>
      <c r="H62" s="112" t="s">
        <v>47</v>
      </c>
      <c r="J62" s="36"/>
      <c r="K62" s="36"/>
      <c r="L62" s="36"/>
      <c r="M62" s="36"/>
      <c r="N62" s="36">
        <f t="shared" si="2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154</v>
      </c>
      <c r="B63" s="111"/>
      <c r="C63" s="111"/>
      <c r="E63" s="112">
        <v>5</v>
      </c>
      <c r="F63" s="113" t="s">
        <v>12</v>
      </c>
      <c r="G63" s="112" t="s">
        <v>29</v>
      </c>
      <c r="H63" s="112" t="s">
        <v>15</v>
      </c>
      <c r="J63" s="36"/>
      <c r="K63" s="36"/>
      <c r="L63" s="36"/>
      <c r="M63" s="36"/>
      <c r="N63" s="36">
        <f t="shared" si="2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51</v>
      </c>
      <c r="B64" s="111"/>
      <c r="C64" s="111"/>
      <c r="D64" s="112"/>
      <c r="E64" s="112">
        <v>5</v>
      </c>
      <c r="F64" s="113" t="s">
        <v>12</v>
      </c>
      <c r="G64" s="112" t="s">
        <v>29</v>
      </c>
      <c r="H64" s="112" t="s">
        <v>24</v>
      </c>
      <c r="J64" s="36"/>
      <c r="K64" s="36"/>
      <c r="L64" s="36"/>
      <c r="M64" s="36"/>
      <c r="N64" s="36">
        <f t="shared" si="2"/>
        <v>0</v>
      </c>
      <c r="O64" s="36"/>
      <c r="P64" s="36"/>
      <c r="Q64" s="36"/>
      <c r="R64" s="36"/>
    </row>
    <row r="65" spans="1:18" s="7" customFormat="1" ht="12.75" customHeight="1" x14ac:dyDescent="0.2">
      <c r="A65" s="86" t="s">
        <v>48</v>
      </c>
      <c r="B65" s="111"/>
      <c r="C65" s="111"/>
      <c r="E65" s="112">
        <v>5</v>
      </c>
      <c r="F65" s="113" t="s">
        <v>12</v>
      </c>
      <c r="G65" s="112" t="s">
        <v>29</v>
      </c>
      <c r="H65" s="114" t="s">
        <v>49</v>
      </c>
      <c r="J65" s="36">
        <v>0</v>
      </c>
      <c r="K65" s="36"/>
      <c r="L65" s="36"/>
      <c r="M65" s="36"/>
      <c r="N65" s="36">
        <f t="shared" si="2"/>
        <v>71025</v>
      </c>
      <c r="O65" s="36"/>
      <c r="P65" s="36">
        <v>71025</v>
      </c>
      <c r="Q65" s="36"/>
      <c r="R65" s="36"/>
    </row>
    <row r="66" spans="1:18" s="7" customFormat="1" ht="12.75" hidden="1" customHeight="1" x14ac:dyDescent="0.2">
      <c r="A66" s="86" t="s">
        <v>50</v>
      </c>
      <c r="B66" s="111"/>
      <c r="C66" s="111"/>
      <c r="D66" s="112"/>
      <c r="E66" s="112">
        <v>5</v>
      </c>
      <c r="F66" s="113" t="s">
        <v>12</v>
      </c>
      <c r="G66" s="112" t="s">
        <v>34</v>
      </c>
      <c r="H66" s="112" t="s">
        <v>8</v>
      </c>
      <c r="J66" s="36"/>
      <c r="K66" s="36"/>
      <c r="L66" s="36"/>
      <c r="M66" s="36"/>
      <c r="N66" s="36">
        <f t="shared" si="2"/>
        <v>0</v>
      </c>
      <c r="O66" s="36"/>
      <c r="P66" s="36"/>
      <c r="Q66" s="36"/>
      <c r="R66" s="36"/>
    </row>
    <row r="67" spans="1:18" s="7" customFormat="1" ht="12.75" hidden="1" customHeight="1" x14ac:dyDescent="0.2">
      <c r="A67" s="86" t="s">
        <v>52</v>
      </c>
      <c r="B67" s="111"/>
      <c r="C67" s="111"/>
      <c r="D67" s="112"/>
      <c r="E67" s="112">
        <v>5</v>
      </c>
      <c r="F67" s="113" t="s">
        <v>12</v>
      </c>
      <c r="G67" s="112" t="s">
        <v>34</v>
      </c>
      <c r="H67" s="112" t="s">
        <v>10</v>
      </c>
      <c r="J67" s="36"/>
      <c r="K67" s="36"/>
      <c r="L67" s="36"/>
      <c r="M67" s="36"/>
      <c r="N67" s="36">
        <f t="shared" si="2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48</v>
      </c>
      <c r="B68" s="111"/>
      <c r="C68" s="111"/>
      <c r="D68" s="112"/>
      <c r="E68" s="112">
        <v>5</v>
      </c>
      <c r="F68" s="113" t="s">
        <v>12</v>
      </c>
      <c r="G68" s="112" t="s">
        <v>29</v>
      </c>
      <c r="H68" s="114" t="s">
        <v>49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53</v>
      </c>
      <c r="B69" s="111"/>
      <c r="C69" s="111"/>
      <c r="E69" s="112">
        <v>5</v>
      </c>
      <c r="F69" s="113" t="s">
        <v>12</v>
      </c>
      <c r="G69" s="112" t="s">
        <v>54</v>
      </c>
      <c r="H69" s="112" t="s">
        <v>8</v>
      </c>
      <c r="J69" s="36"/>
      <c r="K69" s="36"/>
      <c r="L69" s="36"/>
      <c r="M69" s="36"/>
      <c r="N69" s="36"/>
      <c r="O69" s="36"/>
      <c r="P69" s="36"/>
      <c r="Q69" s="36"/>
      <c r="R69" s="36"/>
    </row>
    <row r="70" spans="1:18" s="7" customFormat="1" ht="12.75" hidden="1" customHeight="1" x14ac:dyDescent="0.2">
      <c r="A70" s="86" t="s">
        <v>55</v>
      </c>
      <c r="B70" s="111"/>
      <c r="C70" s="111"/>
      <c r="E70" s="112">
        <v>5</v>
      </c>
      <c r="F70" s="113" t="s">
        <v>12</v>
      </c>
      <c r="G70" s="112" t="s">
        <v>54</v>
      </c>
      <c r="H70" s="112" t="s">
        <v>10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56</v>
      </c>
      <c r="B71" s="111"/>
      <c r="C71" s="111"/>
      <c r="E71" s="112">
        <v>5</v>
      </c>
      <c r="F71" s="113" t="s">
        <v>12</v>
      </c>
      <c r="G71" s="112" t="s">
        <v>54</v>
      </c>
      <c r="H71" s="112" t="s">
        <v>15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57</v>
      </c>
      <c r="B72" s="111"/>
      <c r="C72" s="111"/>
      <c r="E72" s="112">
        <v>5</v>
      </c>
      <c r="F72" s="113" t="s">
        <v>12</v>
      </c>
      <c r="G72" s="112" t="s">
        <v>54</v>
      </c>
      <c r="H72" s="112" t="s">
        <v>17</v>
      </c>
      <c r="J72" s="36"/>
      <c r="K72" s="36"/>
      <c r="L72" s="36"/>
      <c r="M72" s="36"/>
      <c r="N72" s="36">
        <f t="shared" si="2"/>
        <v>0</v>
      </c>
      <c r="O72" s="36"/>
      <c r="P72" s="36"/>
      <c r="Q72" s="36"/>
      <c r="R72" s="36"/>
    </row>
    <row r="73" spans="1:18" s="7" customFormat="1" hidden="1" x14ac:dyDescent="0.2">
      <c r="A73" s="86" t="s">
        <v>58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60</v>
      </c>
      <c r="J73" s="36"/>
      <c r="K73" s="36"/>
      <c r="L73" s="36"/>
      <c r="M73" s="36"/>
      <c r="N73" s="36">
        <f t="shared" si="2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66</v>
      </c>
      <c r="B74" s="111"/>
      <c r="C74" s="111"/>
      <c r="E74" s="112">
        <v>5</v>
      </c>
      <c r="F74" s="113" t="s">
        <v>12</v>
      </c>
      <c r="G74" s="112" t="s">
        <v>67</v>
      </c>
      <c r="H74" s="112" t="s">
        <v>8</v>
      </c>
      <c r="J74" s="36"/>
      <c r="K74" s="36"/>
      <c r="L74" s="36"/>
      <c r="M74" s="36"/>
      <c r="N74" s="36">
        <f t="shared" si="2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61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8</v>
      </c>
      <c r="J75" s="36"/>
      <c r="K75" s="36"/>
      <c r="L75" s="36"/>
      <c r="M75" s="36"/>
      <c r="N75" s="36">
        <f t="shared" si="2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63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64</v>
      </c>
      <c r="J76" s="36"/>
      <c r="K76" s="36"/>
      <c r="L76" s="36"/>
      <c r="M76" s="36"/>
      <c r="N76" s="36">
        <f t="shared" si="2"/>
        <v>0</v>
      </c>
      <c r="O76" s="36"/>
      <c r="P76" s="36"/>
      <c r="Q76" s="36"/>
      <c r="R76" s="36"/>
    </row>
    <row r="77" spans="1:18" s="7" customFormat="1" ht="12.75" customHeight="1" x14ac:dyDescent="0.2">
      <c r="A77" s="86" t="s">
        <v>273</v>
      </c>
      <c r="B77" s="111"/>
      <c r="C77" s="111"/>
      <c r="E77" s="112">
        <v>5</v>
      </c>
      <c r="F77" s="113" t="s">
        <v>12</v>
      </c>
      <c r="G77" s="114" t="s">
        <v>93</v>
      </c>
      <c r="H77" s="114" t="s">
        <v>10</v>
      </c>
      <c r="J77" s="36">
        <v>796050</v>
      </c>
      <c r="K77" s="36"/>
      <c r="L77" s="36"/>
      <c r="M77" s="36"/>
      <c r="N77" s="36">
        <f t="shared" si="2"/>
        <v>2000000</v>
      </c>
      <c r="O77" s="36"/>
      <c r="P77" s="36">
        <v>2000000</v>
      </c>
      <c r="Q77" s="36"/>
      <c r="R77" s="36">
        <v>2000000</v>
      </c>
    </row>
    <row r="78" spans="1:18" s="7" customFormat="1" ht="12.75" hidden="1" customHeight="1" x14ac:dyDescent="0.2">
      <c r="A78" s="86" t="s">
        <v>156</v>
      </c>
      <c r="B78" s="111"/>
      <c r="C78" s="111"/>
      <c r="E78" s="112">
        <v>5</v>
      </c>
      <c r="F78" s="112" t="s">
        <v>12</v>
      </c>
      <c r="G78" s="112" t="s">
        <v>59</v>
      </c>
      <c r="H78" s="112" t="s">
        <v>17</v>
      </c>
      <c r="J78" s="36"/>
      <c r="K78" s="36"/>
      <c r="L78" s="36"/>
      <c r="M78" s="36"/>
      <c r="N78" s="36">
        <f t="shared" si="2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63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64</v>
      </c>
      <c r="J79" s="36"/>
      <c r="K79" s="36"/>
      <c r="L79" s="36"/>
      <c r="M79" s="36"/>
      <c r="N79" s="36">
        <f t="shared" ref="N79:N115" si="3">P79-L79</f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65</v>
      </c>
      <c r="B80" s="111"/>
      <c r="C80" s="111"/>
      <c r="E80" s="112">
        <v>5</v>
      </c>
      <c r="F80" s="113" t="s">
        <v>12</v>
      </c>
      <c r="G80" s="112" t="s">
        <v>59</v>
      </c>
      <c r="H80" s="112" t="s">
        <v>19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157</v>
      </c>
      <c r="B81" s="111"/>
      <c r="C81" s="111"/>
      <c r="E81" s="112">
        <v>5</v>
      </c>
      <c r="F81" s="113" t="s">
        <v>12</v>
      </c>
      <c r="G81" s="112" t="s">
        <v>93</v>
      </c>
      <c r="H81" s="112" t="s">
        <v>8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66</v>
      </c>
      <c r="B82" s="111"/>
      <c r="C82" s="111"/>
      <c r="E82" s="112">
        <v>5</v>
      </c>
      <c r="F82" s="113" t="s">
        <v>12</v>
      </c>
      <c r="G82" s="112" t="s">
        <v>67</v>
      </c>
      <c r="H82" s="112" t="s">
        <v>8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68</v>
      </c>
      <c r="B83" s="111"/>
      <c r="C83" s="111"/>
      <c r="E83" s="112">
        <v>5</v>
      </c>
      <c r="F83" s="113" t="s">
        <v>12</v>
      </c>
      <c r="G83" s="112" t="s">
        <v>67</v>
      </c>
      <c r="H83" s="112" t="s">
        <v>10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158</v>
      </c>
      <c r="B84" s="111"/>
      <c r="C84" s="111"/>
      <c r="E84" s="112">
        <v>5</v>
      </c>
      <c r="F84" s="113" t="s">
        <v>12</v>
      </c>
      <c r="G84" s="112" t="s">
        <v>70</v>
      </c>
      <c r="H84" s="112" t="s">
        <v>8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159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10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69</v>
      </c>
      <c r="B86" s="111"/>
      <c r="C86" s="111"/>
      <c r="E86" s="112">
        <v>5</v>
      </c>
      <c r="F86" s="113" t="s">
        <v>12</v>
      </c>
      <c r="G86" s="112" t="s">
        <v>70</v>
      </c>
      <c r="H86" s="112" t="s">
        <v>15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160</v>
      </c>
      <c r="B87" s="111"/>
      <c r="C87" s="111"/>
      <c r="E87" s="112">
        <v>5</v>
      </c>
      <c r="F87" s="113" t="s">
        <v>12</v>
      </c>
      <c r="G87" s="112" t="s">
        <v>163</v>
      </c>
      <c r="H87" s="112" t="s">
        <v>8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161</v>
      </c>
      <c r="B88" s="111"/>
      <c r="C88" s="111"/>
      <c r="E88" s="112">
        <v>5</v>
      </c>
      <c r="F88" s="113" t="s">
        <v>12</v>
      </c>
      <c r="G88" s="112" t="s">
        <v>163</v>
      </c>
      <c r="H88" s="114" t="s">
        <v>49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71</v>
      </c>
      <c r="B89" s="111"/>
      <c r="C89" s="111"/>
      <c r="E89" s="112">
        <v>5</v>
      </c>
      <c r="F89" s="113" t="s">
        <v>12</v>
      </c>
      <c r="G89" s="112" t="s">
        <v>163</v>
      </c>
      <c r="H89" s="112" t="s">
        <v>10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162</v>
      </c>
      <c r="B90" s="111"/>
      <c r="C90" s="111"/>
      <c r="E90" s="112">
        <v>5</v>
      </c>
      <c r="F90" s="113" t="s">
        <v>12</v>
      </c>
      <c r="G90" s="112" t="s">
        <v>163</v>
      </c>
      <c r="H90" s="112" t="s">
        <v>15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72</v>
      </c>
      <c r="B91" s="111"/>
      <c r="C91" s="111"/>
      <c r="E91" s="112">
        <v>5</v>
      </c>
      <c r="F91" s="113" t="s">
        <v>12</v>
      </c>
      <c r="G91" s="112" t="s">
        <v>70</v>
      </c>
      <c r="H91" s="112" t="s">
        <v>49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164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10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165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15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166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17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167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8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168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45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customHeight="1" x14ac:dyDescent="0.2">
      <c r="A97" s="86" t="s">
        <v>165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15</v>
      </c>
      <c r="J97" s="36">
        <v>1476632</v>
      </c>
      <c r="K97" s="36"/>
      <c r="L97" s="36"/>
      <c r="M97" s="36"/>
      <c r="N97" s="36">
        <f t="shared" si="3"/>
        <v>6900000</v>
      </c>
      <c r="O97" s="36"/>
      <c r="P97" s="36">
        <v>6900000</v>
      </c>
      <c r="Q97" s="36"/>
      <c r="R97" s="36">
        <v>6900000</v>
      </c>
    </row>
    <row r="98" spans="1:18" s="7" customFormat="1" ht="12.75" customHeight="1" x14ac:dyDescent="0.2">
      <c r="A98" s="86" t="s">
        <v>73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64</v>
      </c>
      <c r="J98" s="36">
        <v>1503943</v>
      </c>
      <c r="K98" s="36"/>
      <c r="L98" s="36"/>
      <c r="M98" s="36"/>
      <c r="N98" s="36">
        <f t="shared" si="3"/>
        <v>1950000</v>
      </c>
      <c r="O98" s="36"/>
      <c r="P98" s="36">
        <v>1950000</v>
      </c>
      <c r="Q98" s="36"/>
      <c r="R98" s="36">
        <v>1950000</v>
      </c>
    </row>
    <row r="99" spans="1:18" s="7" customFormat="1" ht="12.75" hidden="1" customHeight="1" x14ac:dyDescent="0.2">
      <c r="A99" s="86" t="s">
        <v>75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19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76</v>
      </c>
      <c r="B100" s="111"/>
      <c r="C100" s="111"/>
      <c r="E100" s="112">
        <v>5</v>
      </c>
      <c r="F100" s="113" t="s">
        <v>12</v>
      </c>
      <c r="G100" s="112" t="s">
        <v>74</v>
      </c>
      <c r="H100" s="112" t="s">
        <v>60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77</v>
      </c>
      <c r="B101" s="111"/>
      <c r="C101" s="111"/>
      <c r="E101" s="112">
        <v>5</v>
      </c>
      <c r="F101" s="113" t="s">
        <v>12</v>
      </c>
      <c r="G101" s="112" t="s">
        <v>74</v>
      </c>
      <c r="H101" s="112" t="s">
        <v>49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78</v>
      </c>
      <c r="B102" s="111"/>
      <c r="C102" s="111"/>
      <c r="E102" s="112">
        <v>5</v>
      </c>
      <c r="F102" s="113" t="s">
        <v>12</v>
      </c>
      <c r="G102" s="112" t="s">
        <v>79</v>
      </c>
      <c r="H102" s="112" t="s">
        <v>10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80</v>
      </c>
      <c r="B103" s="111"/>
      <c r="C103" s="111"/>
      <c r="E103" s="112">
        <v>5</v>
      </c>
      <c r="F103" s="113" t="s">
        <v>12</v>
      </c>
      <c r="G103" s="112" t="s">
        <v>79</v>
      </c>
      <c r="H103" s="112" t="s">
        <v>15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169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60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170</v>
      </c>
      <c r="B105" s="111"/>
      <c r="C105" s="111"/>
      <c r="E105" s="112">
        <v>5</v>
      </c>
      <c r="F105" s="113" t="s">
        <v>12</v>
      </c>
      <c r="G105" s="112" t="s">
        <v>79</v>
      </c>
      <c r="H105" s="113" t="s">
        <v>19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171</v>
      </c>
      <c r="B106" s="111"/>
      <c r="C106" s="111"/>
      <c r="E106" s="112">
        <v>5</v>
      </c>
      <c r="F106" s="113" t="s">
        <v>12</v>
      </c>
      <c r="G106" s="112" t="s">
        <v>79</v>
      </c>
      <c r="H106" s="113" t="s">
        <v>82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81</v>
      </c>
      <c r="B107" s="111"/>
      <c r="C107" s="111"/>
      <c r="E107" s="112">
        <v>5</v>
      </c>
      <c r="F107" s="113" t="s">
        <v>12</v>
      </c>
      <c r="G107" s="112" t="s">
        <v>59</v>
      </c>
      <c r="H107" s="113" t="s">
        <v>82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83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8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85</v>
      </c>
      <c r="B109" s="111"/>
      <c r="C109" s="111"/>
      <c r="E109" s="112">
        <v>5</v>
      </c>
      <c r="F109" s="113" t="s">
        <v>12</v>
      </c>
      <c r="G109" s="112" t="s">
        <v>84</v>
      </c>
      <c r="H109" s="113" t="s">
        <v>10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86</v>
      </c>
      <c r="B110" s="111"/>
      <c r="C110" s="111"/>
      <c r="E110" s="112">
        <v>5</v>
      </c>
      <c r="F110" s="113" t="s">
        <v>12</v>
      </c>
      <c r="G110" s="112" t="s">
        <v>84</v>
      </c>
      <c r="H110" s="113" t="s">
        <v>15</v>
      </c>
      <c r="J110" s="36"/>
      <c r="K110" s="36"/>
      <c r="L110" s="36"/>
      <c r="M110" s="36"/>
      <c r="N110" s="36">
        <f t="shared" si="3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172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8</v>
      </c>
      <c r="J111" s="36"/>
      <c r="K111" s="36"/>
      <c r="L111" s="36"/>
      <c r="M111" s="36"/>
      <c r="N111" s="36">
        <f t="shared" si="3"/>
        <v>0</v>
      </c>
      <c r="O111" s="36"/>
      <c r="P111" s="36"/>
      <c r="Q111" s="36"/>
      <c r="R111" s="36"/>
    </row>
    <row r="112" spans="1:18" s="7" customFormat="1" ht="12.75" hidden="1" customHeight="1" x14ac:dyDescent="0.2">
      <c r="A112" s="86" t="s">
        <v>173</v>
      </c>
      <c r="B112" s="111"/>
      <c r="C112" s="111"/>
      <c r="E112" s="112">
        <v>5</v>
      </c>
      <c r="F112" s="113" t="s">
        <v>12</v>
      </c>
      <c r="G112" s="112" t="s">
        <v>174</v>
      </c>
      <c r="H112" s="113" t="s">
        <v>10</v>
      </c>
      <c r="J112" s="36"/>
      <c r="K112" s="36"/>
      <c r="L112" s="36"/>
      <c r="M112" s="36"/>
      <c r="N112" s="36">
        <f t="shared" si="3"/>
        <v>0</v>
      </c>
      <c r="O112" s="36"/>
      <c r="P112" s="36"/>
      <c r="Q112" s="36"/>
      <c r="R112" s="36"/>
    </row>
    <row r="113" spans="1:18" s="7" customFormat="1" ht="12.75" hidden="1" customHeight="1" x14ac:dyDescent="0.2">
      <c r="A113" s="86" t="s">
        <v>87</v>
      </c>
      <c r="B113" s="111"/>
      <c r="C113" s="111"/>
      <c r="E113" s="112">
        <v>5</v>
      </c>
      <c r="F113" s="113" t="s">
        <v>12</v>
      </c>
      <c r="G113" s="112" t="s">
        <v>174</v>
      </c>
      <c r="H113" s="113" t="s">
        <v>15</v>
      </c>
      <c r="J113" s="36"/>
      <c r="K113" s="36"/>
      <c r="L113" s="36"/>
      <c r="M113" s="36"/>
      <c r="N113" s="36">
        <f t="shared" si="3"/>
        <v>0</v>
      </c>
      <c r="O113" s="36"/>
      <c r="P113" s="36"/>
      <c r="Q113" s="36"/>
      <c r="R113" s="36"/>
    </row>
    <row r="114" spans="1:18" s="7" customFormat="1" ht="12.75" hidden="1" customHeight="1" x14ac:dyDescent="0.2">
      <c r="A114" s="86" t="s">
        <v>62</v>
      </c>
      <c r="B114" s="111"/>
      <c r="C114" s="111"/>
      <c r="E114" s="112">
        <v>5</v>
      </c>
      <c r="F114" s="113" t="s">
        <v>12</v>
      </c>
      <c r="G114" s="112" t="s">
        <v>59</v>
      </c>
      <c r="H114" s="112" t="s">
        <v>10</v>
      </c>
      <c r="J114" s="36"/>
      <c r="K114" s="36"/>
      <c r="L114" s="36"/>
      <c r="M114" s="36"/>
      <c r="N114" s="36">
        <f t="shared" si="3"/>
        <v>0</v>
      </c>
      <c r="O114" s="36"/>
      <c r="P114" s="36"/>
      <c r="Q114" s="36"/>
      <c r="R114" s="36"/>
    </row>
    <row r="115" spans="1:18" s="7" customFormat="1" ht="12.75" customHeight="1" x14ac:dyDescent="0.2">
      <c r="A115" s="86" t="s">
        <v>260</v>
      </c>
      <c r="B115" s="111"/>
      <c r="C115" s="111"/>
      <c r="E115" s="112">
        <v>5</v>
      </c>
      <c r="F115" s="113" t="s">
        <v>12</v>
      </c>
      <c r="G115" s="134">
        <v>99</v>
      </c>
      <c r="H115" s="135">
        <v>990</v>
      </c>
      <c r="J115" s="36">
        <v>0</v>
      </c>
      <c r="K115" s="36"/>
      <c r="L115" s="36"/>
      <c r="M115" s="36"/>
      <c r="N115" s="36">
        <f t="shared" si="3"/>
        <v>10000</v>
      </c>
      <c r="O115" s="36"/>
      <c r="P115" s="36">
        <v>10000</v>
      </c>
      <c r="Q115" s="36"/>
      <c r="R115" s="36">
        <v>10000</v>
      </c>
    </row>
    <row r="116" spans="1:18" s="7" customFormat="1" ht="18.95" customHeight="1" x14ac:dyDescent="0.2">
      <c r="A116" s="323" t="s">
        <v>191</v>
      </c>
      <c r="B116" s="323"/>
      <c r="C116" s="323"/>
      <c r="J116" s="161">
        <f>SUM(J48:J115)</f>
        <v>5145657.66</v>
      </c>
      <c r="K116" s="162"/>
      <c r="L116" s="161">
        <f>SUM(L48:L115)</f>
        <v>488983.63</v>
      </c>
      <c r="M116" s="36"/>
      <c r="N116" s="161">
        <f>SUM(N48:N115)</f>
        <v>12169541.370000001</v>
      </c>
      <c r="O116" s="36"/>
      <c r="P116" s="161">
        <f>SUM(P48:P115)</f>
        <v>12658525</v>
      </c>
      <c r="Q116" s="36"/>
      <c r="R116" s="161">
        <f>SUM(R48:R115)</f>
        <v>12587500</v>
      </c>
    </row>
    <row r="117" spans="1:18" s="7" customFormat="1" ht="6" hidden="1" customHeight="1" x14ac:dyDescent="0.2">
      <c r="A117" s="20"/>
      <c r="B117" s="20"/>
      <c r="C117" s="20"/>
      <c r="J117" s="162"/>
      <c r="K117" s="162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69" t="s">
        <v>189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109</v>
      </c>
      <c r="E119" s="112">
        <v>5</v>
      </c>
      <c r="F119" s="113" t="s">
        <v>29</v>
      </c>
      <c r="G119" s="112" t="s">
        <v>7</v>
      </c>
      <c r="H119" s="112" t="s">
        <v>17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180</v>
      </c>
      <c r="E120" s="112">
        <v>5</v>
      </c>
      <c r="F120" s="113" t="s">
        <v>29</v>
      </c>
      <c r="G120" s="112" t="s">
        <v>7</v>
      </c>
      <c r="H120" s="112" t="s">
        <v>64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181</v>
      </c>
      <c r="E122" s="112">
        <v>5</v>
      </c>
      <c r="F122" s="113" t="s">
        <v>29</v>
      </c>
      <c r="G122" s="112" t="s">
        <v>7</v>
      </c>
      <c r="H122" s="114" t="s">
        <v>49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182</v>
      </c>
      <c r="E123" s="112">
        <v>5</v>
      </c>
      <c r="F123" s="113" t="s">
        <v>29</v>
      </c>
      <c r="G123" s="112" t="s">
        <v>7</v>
      </c>
      <c r="H123" s="112" t="s">
        <v>10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2" hidden="1" customHeight="1" x14ac:dyDescent="0.2">
      <c r="A124" s="86" t="s">
        <v>181</v>
      </c>
      <c r="E124" s="112">
        <v>5</v>
      </c>
      <c r="F124" s="113" t="s">
        <v>29</v>
      </c>
      <c r="G124" s="112" t="s">
        <v>7</v>
      </c>
      <c r="H124" s="114" t="s">
        <v>49</v>
      </c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2" hidden="1" customHeight="1" x14ac:dyDescent="0.2">
      <c r="A125" s="86" t="s">
        <v>183</v>
      </c>
      <c r="E125" s="112">
        <v>5</v>
      </c>
      <c r="F125" s="113" t="s">
        <v>29</v>
      </c>
      <c r="G125" s="112" t="s">
        <v>7</v>
      </c>
      <c r="H125" s="112" t="s">
        <v>8</v>
      </c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" hidden="1" customHeight="1" x14ac:dyDescent="0.2">
      <c r="A126" s="86" t="s">
        <v>184</v>
      </c>
      <c r="E126" s="112">
        <v>5</v>
      </c>
      <c r="F126" s="113" t="s">
        <v>29</v>
      </c>
      <c r="G126" s="112" t="s">
        <v>7</v>
      </c>
      <c r="H126" s="112" t="s">
        <v>15</v>
      </c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8.95" hidden="1" customHeight="1" x14ac:dyDescent="0.2">
      <c r="A127" s="63" t="s">
        <v>185</v>
      </c>
      <c r="J127" s="171">
        <f>SUM(J119:J126)</f>
        <v>0</v>
      </c>
      <c r="K127" s="172"/>
      <c r="L127" s="171">
        <f>SUM(L119:L126)</f>
        <v>0</v>
      </c>
      <c r="M127" s="172"/>
      <c r="N127" s="171">
        <f>SUM(N119:N126)</f>
        <v>0</v>
      </c>
      <c r="O127" s="172"/>
      <c r="P127" s="171">
        <f>SUM(P119:P126)</f>
        <v>0</v>
      </c>
      <c r="Q127" s="172"/>
      <c r="R127" s="171">
        <f>SUM(R119:R126)</f>
        <v>0</v>
      </c>
    </row>
    <row r="128" spans="1:18" s="7" customFormat="1" ht="6" customHeight="1" x14ac:dyDescent="0.2"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customHeight="1" x14ac:dyDescent="0.2">
      <c r="A129" s="68" t="s">
        <v>190</v>
      </c>
      <c r="B129" s="11"/>
      <c r="C129" s="11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11" t="s">
        <v>89</v>
      </c>
      <c r="B130" s="24"/>
      <c r="C130" s="24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70" t="s">
        <v>90</v>
      </c>
      <c r="B131" s="9"/>
      <c r="C131" s="9"/>
      <c r="E131" s="112">
        <v>1</v>
      </c>
      <c r="F131" s="113" t="s">
        <v>12</v>
      </c>
      <c r="G131" s="112" t="s">
        <v>54</v>
      </c>
      <c r="H131" s="114" t="s">
        <v>10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92</v>
      </c>
      <c r="B132" s="111"/>
      <c r="C132" s="111"/>
      <c r="E132" s="112">
        <v>1</v>
      </c>
      <c r="F132" s="113" t="s">
        <v>93</v>
      </c>
      <c r="G132" s="112" t="s">
        <v>7</v>
      </c>
      <c r="H132" s="112" t="s">
        <v>8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hidden="1" customHeight="1" x14ac:dyDescent="0.2">
      <c r="A133" s="86" t="s">
        <v>94</v>
      </c>
      <c r="B133" s="111"/>
      <c r="C133" s="111"/>
      <c r="E133" s="112">
        <v>1</v>
      </c>
      <c r="F133" s="113" t="s">
        <v>93</v>
      </c>
      <c r="G133" s="112" t="s">
        <v>34</v>
      </c>
      <c r="H133" s="112" t="s">
        <v>8</v>
      </c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hidden="1" customHeight="1" x14ac:dyDescent="0.2">
      <c r="A134" s="86" t="s">
        <v>95</v>
      </c>
      <c r="B134" s="116"/>
      <c r="C134" s="116"/>
      <c r="E134" s="112">
        <v>1</v>
      </c>
      <c r="F134" s="113" t="s">
        <v>93</v>
      </c>
      <c r="G134" s="112" t="s">
        <v>34</v>
      </c>
      <c r="H134" s="112" t="s">
        <v>49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hidden="1" customHeight="1" x14ac:dyDescent="0.2">
      <c r="A135" s="86" t="s">
        <v>96</v>
      </c>
      <c r="B135" s="116"/>
      <c r="C135" s="116"/>
      <c r="D135" s="113"/>
      <c r="E135" s="112">
        <v>1</v>
      </c>
      <c r="F135" s="113" t="s">
        <v>93</v>
      </c>
      <c r="G135" s="112" t="s">
        <v>54</v>
      </c>
      <c r="H135" s="112" t="s">
        <v>10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hidden="1" customHeight="1" x14ac:dyDescent="0.2">
      <c r="A136" s="86" t="s">
        <v>97</v>
      </c>
      <c r="B136" s="111"/>
      <c r="C136" s="111"/>
      <c r="E136" s="112">
        <v>1</v>
      </c>
      <c r="F136" s="113" t="s">
        <v>93</v>
      </c>
      <c r="G136" s="112" t="s">
        <v>93</v>
      </c>
      <c r="H136" s="112" t="s">
        <v>8</v>
      </c>
      <c r="J136" s="36"/>
      <c r="K136" s="36"/>
      <c r="L136" s="36"/>
      <c r="M136" s="36"/>
      <c r="N136" s="36">
        <f t="shared" ref="N136:N145" si="4">P136-L136</f>
        <v>0</v>
      </c>
      <c r="O136" s="36"/>
      <c r="P136" s="36"/>
      <c r="Q136" s="36"/>
      <c r="R136" s="36"/>
    </row>
    <row r="137" spans="1:18" s="7" customFormat="1" ht="12.75" hidden="1" customHeight="1" x14ac:dyDescent="0.2">
      <c r="A137" s="86" t="s">
        <v>98</v>
      </c>
      <c r="B137" s="116"/>
      <c r="C137" s="116"/>
      <c r="E137" s="112">
        <v>1</v>
      </c>
      <c r="F137" s="113" t="s">
        <v>93</v>
      </c>
      <c r="G137" s="112" t="s">
        <v>54</v>
      </c>
      <c r="H137" s="112" t="s">
        <v>15</v>
      </c>
      <c r="J137" s="36"/>
      <c r="K137" s="36"/>
      <c r="L137" s="36"/>
      <c r="M137" s="36"/>
      <c r="N137" s="36">
        <f t="shared" si="4"/>
        <v>0</v>
      </c>
      <c r="O137" s="36"/>
      <c r="P137" s="36"/>
      <c r="Q137" s="36"/>
      <c r="R137" s="36"/>
    </row>
    <row r="138" spans="1:18" s="7" customFormat="1" ht="12.75" hidden="1" customHeight="1" x14ac:dyDescent="0.2">
      <c r="A138" s="86" t="s">
        <v>99</v>
      </c>
      <c r="B138" s="116"/>
      <c r="C138" s="116"/>
      <c r="D138" s="113"/>
      <c r="E138" s="112">
        <v>1</v>
      </c>
      <c r="F138" s="113" t="s">
        <v>93</v>
      </c>
      <c r="G138" s="112" t="s">
        <v>93</v>
      </c>
      <c r="H138" s="112" t="s">
        <v>10</v>
      </c>
      <c r="J138" s="36"/>
      <c r="K138" s="36"/>
      <c r="L138" s="36"/>
      <c r="M138" s="36"/>
      <c r="N138" s="36">
        <f t="shared" si="4"/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175</v>
      </c>
      <c r="B139" s="111"/>
      <c r="C139" s="111"/>
      <c r="E139" s="112">
        <v>1</v>
      </c>
      <c r="F139" s="113" t="s">
        <v>93</v>
      </c>
      <c r="G139" s="112" t="s">
        <v>54</v>
      </c>
      <c r="H139" s="114" t="s">
        <v>82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175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82</v>
      </c>
      <c r="J140" s="36"/>
      <c r="K140" s="36"/>
      <c r="L140" s="36"/>
      <c r="M140" s="36"/>
      <c r="N140" s="36">
        <f t="shared" si="4"/>
        <v>0</v>
      </c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176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45</v>
      </c>
      <c r="J141" s="36"/>
      <c r="K141" s="36"/>
      <c r="L141" s="36"/>
      <c r="M141" s="36"/>
      <c r="N141" s="36">
        <f t="shared" si="4"/>
        <v>0</v>
      </c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177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146</v>
      </c>
      <c r="J142" s="36"/>
      <c r="K142" s="36"/>
      <c r="L142" s="36"/>
      <c r="M142" s="36"/>
      <c r="N142" s="36">
        <f t="shared" si="4"/>
        <v>0</v>
      </c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101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102</v>
      </c>
      <c r="J143" s="36"/>
      <c r="K143" s="36"/>
      <c r="L143" s="36"/>
      <c r="M143" s="36"/>
      <c r="N143" s="36">
        <f t="shared" si="4"/>
        <v>0</v>
      </c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103</v>
      </c>
      <c r="B144" s="111"/>
      <c r="C144" s="111"/>
      <c r="E144" s="112">
        <v>1</v>
      </c>
      <c r="F144" s="113" t="s">
        <v>93</v>
      </c>
      <c r="G144" s="112" t="s">
        <v>54</v>
      </c>
      <c r="H144" s="112" t="s">
        <v>24</v>
      </c>
      <c r="J144" s="36"/>
      <c r="K144" s="36"/>
      <c r="L144" s="36"/>
      <c r="M144" s="36"/>
      <c r="N144" s="36">
        <f t="shared" si="4"/>
        <v>0</v>
      </c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104</v>
      </c>
      <c r="B145" s="111"/>
      <c r="C145" s="111"/>
      <c r="E145" s="112">
        <v>1</v>
      </c>
      <c r="F145" s="113" t="s">
        <v>93</v>
      </c>
      <c r="G145" s="112" t="s">
        <v>54</v>
      </c>
      <c r="H145" s="112" t="s">
        <v>28</v>
      </c>
      <c r="J145" s="36"/>
      <c r="K145" s="36"/>
      <c r="L145" s="36"/>
      <c r="M145" s="36"/>
      <c r="N145" s="36">
        <f t="shared" si="4"/>
        <v>0</v>
      </c>
      <c r="O145" s="36"/>
      <c r="P145" s="36"/>
      <c r="Q145" s="36"/>
      <c r="R145" s="36"/>
    </row>
    <row r="146" spans="1:18" s="7" customFormat="1" ht="6" customHeight="1" x14ac:dyDescent="0.2">
      <c r="A146" s="86"/>
      <c r="B146" s="111"/>
      <c r="C146" s="111"/>
      <c r="E146" s="112"/>
      <c r="F146" s="113"/>
      <c r="G146" s="112"/>
      <c r="H146" s="112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customHeight="1" x14ac:dyDescent="0.2">
      <c r="A147" s="86" t="s">
        <v>105</v>
      </c>
      <c r="B147" s="111"/>
      <c r="C147" s="111"/>
      <c r="D147" s="113"/>
      <c r="E147" s="112">
        <v>1</v>
      </c>
      <c r="F147" s="113" t="s">
        <v>93</v>
      </c>
      <c r="G147" s="112" t="s">
        <v>54</v>
      </c>
      <c r="H147" s="114" t="s">
        <v>49</v>
      </c>
      <c r="J147" s="36">
        <v>54200</v>
      </c>
      <c r="K147" s="36"/>
      <c r="L147" s="36"/>
      <c r="M147" s="36"/>
      <c r="N147" s="36">
        <f t="shared" ref="N147:N149" si="5">P147-L147</f>
        <v>0</v>
      </c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106</v>
      </c>
      <c r="B148" s="111"/>
      <c r="C148" s="111"/>
      <c r="D148" s="113"/>
      <c r="E148" s="112">
        <v>1</v>
      </c>
      <c r="F148" s="113" t="s">
        <v>93</v>
      </c>
      <c r="G148" s="112" t="s">
        <v>67</v>
      </c>
      <c r="H148" s="112" t="s">
        <v>8</v>
      </c>
      <c r="J148" s="36"/>
      <c r="K148" s="36"/>
      <c r="L148" s="36"/>
      <c r="M148" s="36"/>
      <c r="N148" s="36">
        <f t="shared" si="5"/>
        <v>0</v>
      </c>
      <c r="O148" s="36"/>
      <c r="P148" s="36"/>
      <c r="Q148" s="36"/>
      <c r="R148" s="36"/>
    </row>
    <row r="149" spans="1:18" s="7" customFormat="1" ht="12.75" customHeight="1" x14ac:dyDescent="0.2">
      <c r="A149" s="86" t="s">
        <v>107</v>
      </c>
      <c r="B149" s="111"/>
      <c r="C149" s="111"/>
      <c r="D149" s="113"/>
      <c r="E149" s="112">
        <v>1</v>
      </c>
      <c r="F149" s="113" t="s">
        <v>93</v>
      </c>
      <c r="G149" s="112" t="s">
        <v>59</v>
      </c>
      <c r="H149" s="114" t="s">
        <v>49</v>
      </c>
      <c r="J149" s="36">
        <v>16050</v>
      </c>
      <c r="K149" s="36"/>
      <c r="L149" s="36"/>
      <c r="M149" s="36"/>
      <c r="N149" s="36">
        <f t="shared" si="5"/>
        <v>0</v>
      </c>
      <c r="O149" s="36"/>
      <c r="P149" s="36"/>
      <c r="Q149" s="36"/>
      <c r="R149" s="36"/>
    </row>
    <row r="150" spans="1:18" s="7" customFormat="1" ht="12.75" hidden="1" customHeight="1" x14ac:dyDescent="0.2">
      <c r="A150" s="86" t="s">
        <v>178</v>
      </c>
      <c r="B150" s="111"/>
      <c r="C150" s="111"/>
      <c r="D150" s="113"/>
      <c r="E150" s="112">
        <v>1</v>
      </c>
      <c r="F150" s="113" t="s">
        <v>93</v>
      </c>
      <c r="G150" s="112" t="s">
        <v>29</v>
      </c>
      <c r="H150" s="112" t="s">
        <v>8</v>
      </c>
    </row>
    <row r="151" spans="1:18" s="7" customFormat="1" ht="12.75" hidden="1" customHeight="1" x14ac:dyDescent="0.2">
      <c r="A151" s="86" t="s">
        <v>179</v>
      </c>
      <c r="B151" s="111"/>
      <c r="C151" s="111"/>
      <c r="D151" s="113"/>
      <c r="E151" s="112">
        <v>1</v>
      </c>
      <c r="F151" s="113" t="s">
        <v>93</v>
      </c>
      <c r="G151" s="112" t="s">
        <v>29</v>
      </c>
      <c r="H151" s="112" t="s">
        <v>45</v>
      </c>
    </row>
    <row r="152" spans="1:18" s="27" customFormat="1" ht="18.95" customHeight="1" x14ac:dyDescent="0.2">
      <c r="A152" s="63" t="s">
        <v>108</v>
      </c>
      <c r="B152" s="26"/>
      <c r="C152" s="26"/>
      <c r="J152" s="21">
        <f>SUM(J132:J151)</f>
        <v>70250</v>
      </c>
      <c r="K152" s="23"/>
      <c r="L152" s="21">
        <f>SUM(L132:L147)</f>
        <v>0</v>
      </c>
      <c r="N152" s="21">
        <f>SUM(N132:N151)</f>
        <v>0</v>
      </c>
      <c r="P152" s="21">
        <f>SUM(P132:P151)</f>
        <v>0</v>
      </c>
      <c r="R152" s="21">
        <f>SUM(R132:R151)</f>
        <v>0</v>
      </c>
    </row>
    <row r="153" spans="1:18" s="7" customFormat="1" ht="6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J44+J116+J127+J152</f>
        <v>49066897.980000004</v>
      </c>
      <c r="K154" s="23"/>
      <c r="L154" s="29">
        <f>L44+L116+L127+L152</f>
        <v>22654489.77</v>
      </c>
      <c r="N154" s="29">
        <f>N44+N116+N127+N152</f>
        <v>50798807.590000004</v>
      </c>
      <c r="P154" s="29">
        <f>P44+P116+P127+P152</f>
        <v>73453297.359999999</v>
      </c>
      <c r="R154" s="29">
        <f>R44+R116+R127+R152</f>
        <v>68357003.120000005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s="7" customFormat="1" x14ac:dyDescent="0.2"/>
    <row r="158" spans="1:18" x14ac:dyDescent="0.2">
      <c r="A158" s="75" t="s">
        <v>133</v>
      </c>
      <c r="D158" s="33"/>
      <c r="E158" s="32"/>
      <c r="G158" s="31"/>
      <c r="I158" s="31"/>
      <c r="J158" s="321" t="s">
        <v>276</v>
      </c>
      <c r="K158" s="321"/>
      <c r="L158" s="321"/>
      <c r="M158" s="47"/>
      <c r="N158" s="49"/>
      <c r="O158" s="49"/>
      <c r="P158" s="48" t="s">
        <v>135</v>
      </c>
    </row>
    <row r="159" spans="1:18" x14ac:dyDescent="0.2">
      <c r="A159" s="50"/>
      <c r="D159" s="33"/>
      <c r="E159" s="51"/>
      <c r="G159" s="31"/>
      <c r="I159" s="31"/>
      <c r="J159" s="168"/>
      <c r="M159" s="30"/>
      <c r="N159" s="36"/>
      <c r="O159" s="36"/>
      <c r="P159" s="51"/>
    </row>
    <row r="160" spans="1:18" x14ac:dyDescent="0.2">
      <c r="A160" s="50"/>
      <c r="D160" s="33"/>
      <c r="E160" s="51"/>
      <c r="G160" s="31"/>
      <c r="I160" s="31"/>
      <c r="J160" s="168"/>
      <c r="M160" s="95"/>
      <c r="N160" s="36"/>
      <c r="O160" s="36"/>
      <c r="P160" s="51"/>
    </row>
    <row r="161" spans="1:16" x14ac:dyDescent="0.2">
      <c r="A161" s="52"/>
      <c r="D161" s="31"/>
      <c r="E161" s="53"/>
      <c r="G161" s="31"/>
      <c r="I161" s="31"/>
      <c r="J161" s="31"/>
      <c r="M161" s="31"/>
      <c r="P161" s="53"/>
    </row>
    <row r="162" spans="1:16" x14ac:dyDescent="0.2">
      <c r="A162" s="76" t="s">
        <v>222</v>
      </c>
      <c r="D162" s="55"/>
      <c r="E162" s="56"/>
      <c r="G162" s="31"/>
      <c r="I162" s="31"/>
      <c r="J162" s="322" t="s">
        <v>291</v>
      </c>
      <c r="K162" s="322"/>
      <c r="L162" s="322"/>
      <c r="M162" s="57"/>
      <c r="N162" s="59"/>
      <c r="O162" s="59"/>
      <c r="P162" s="58" t="s">
        <v>137</v>
      </c>
    </row>
    <row r="163" spans="1:16" x14ac:dyDescent="0.2">
      <c r="A163" s="74" t="s">
        <v>223</v>
      </c>
      <c r="D163" s="31"/>
      <c r="E163" s="32"/>
      <c r="G163" s="31"/>
      <c r="I163" s="31"/>
      <c r="J163" s="321" t="s">
        <v>269</v>
      </c>
      <c r="K163" s="321"/>
      <c r="L163" s="321"/>
      <c r="M163" s="33"/>
      <c r="N163" s="35"/>
      <c r="O163" s="35"/>
      <c r="P163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97" activePane="bottomRight" state="frozen"/>
      <selection pane="bottomRight" activeCell="R97" sqref="R97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7" activePane="bottomRight" state="frozen"/>
      <selection pane="bottomRight" activeCell="C152" sqref="C152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126" activePane="bottomRight" state="frozen"/>
      <selection pane="bottomRight" activeCell="A135" sqref="A135:XFD144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B37" activePane="bottomRight" state="frozen"/>
      <selection pane="bottomRight" activeCell="R35" sqref="R35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47" activePane="bottomRight" state="frozen"/>
      <selection pane="bottomRight" activeCell="R115" sqref="R115"/>
      <rowBreaks count="1" manualBreakCount="1">
        <brk id="97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J158:L158"/>
    <mergeCell ref="J162:L162"/>
    <mergeCell ref="J163:L163"/>
    <mergeCell ref="A13:C13"/>
    <mergeCell ref="E13:H13"/>
    <mergeCell ref="A116:C116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75" max="1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3"/>
  <sheetViews>
    <sheetView view="pageBreakPreview" zoomScaleNormal="85" zoomScaleSheetLayoutView="100" workbookViewId="0">
      <pane xSplit="1" ySplit="14" topLeftCell="B46" activePane="bottomRight" state="frozen"/>
      <selection pane="topRight" activeCell="B1" sqref="B1"/>
      <selection pane="bottomLeft" activeCell="A15" sqref="A15"/>
      <selection pane="bottomRight" activeCell="J60" sqref="J6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289</v>
      </c>
      <c r="H4" s="3"/>
      <c r="I4" s="3"/>
      <c r="R4" s="77">
        <v>4421</v>
      </c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332</v>
      </c>
    </row>
    <row r="7" spans="1:19" ht="15" customHeight="1" x14ac:dyDescent="0.2">
      <c r="A7" s="6" t="s">
        <v>121</v>
      </c>
      <c r="B7" s="2" t="s">
        <v>113</v>
      </c>
      <c r="C7" s="6" t="s">
        <v>224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1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18"/>
      <c r="B12" s="118"/>
      <c r="C12" s="118"/>
      <c r="D12" s="9"/>
      <c r="E12" s="118"/>
      <c r="F12" s="118"/>
      <c r="G12" s="118"/>
      <c r="H12" s="118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79684174.879999995</v>
      </c>
      <c r="K17" s="13"/>
      <c r="L17" s="36">
        <v>37740006.460000001</v>
      </c>
      <c r="M17" s="36"/>
      <c r="N17" s="36">
        <f t="shared" ref="N17:N24" si="0">P17-L17</f>
        <v>86257324.109999985</v>
      </c>
      <c r="O17" s="36"/>
      <c r="P17" s="36">
        <v>123997330.56999999</v>
      </c>
      <c r="Q17" s="36"/>
      <c r="R17" s="36">
        <v>137690770.19</v>
      </c>
    </row>
    <row r="18" spans="1:18" s="7" customFormat="1" ht="14.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>
        <v>77150187.560000002</v>
      </c>
      <c r="K18" s="39"/>
      <c r="L18" s="36">
        <v>32844867.539999999</v>
      </c>
      <c r="M18" s="36"/>
      <c r="N18" s="36">
        <f t="shared" si="0"/>
        <v>112866620.46000001</v>
      </c>
      <c r="O18" s="36"/>
      <c r="P18" s="36">
        <v>145711488</v>
      </c>
      <c r="Q18" s="36"/>
      <c r="R18" s="199">
        <v>135821940</v>
      </c>
    </row>
    <row r="19" spans="1:18" s="7" customFormat="1" ht="14.1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9457060.2799999993</v>
      </c>
      <c r="K19" s="13"/>
      <c r="L19" s="36">
        <v>4296670.0999999996</v>
      </c>
      <c r="M19" s="36"/>
      <c r="N19" s="36">
        <f t="shared" si="0"/>
        <v>12167329.9</v>
      </c>
      <c r="O19" s="36"/>
      <c r="P19" s="36">
        <v>16464000</v>
      </c>
      <c r="Q19" s="36"/>
      <c r="R19" s="199">
        <v>15600000</v>
      </c>
    </row>
    <row r="20" spans="1:18" s="7" customFormat="1" ht="14.1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144000</v>
      </c>
      <c r="K20" s="13"/>
      <c r="L20" s="36">
        <v>81000</v>
      </c>
      <c r="M20" s="36"/>
      <c r="N20" s="36">
        <f t="shared" si="0"/>
        <v>291000</v>
      </c>
      <c r="O20" s="36"/>
      <c r="P20" s="36">
        <v>372000</v>
      </c>
      <c r="Q20" s="36"/>
      <c r="R20" s="36">
        <v>372000</v>
      </c>
    </row>
    <row r="21" spans="1:18" s="7" customFormat="1" ht="14.1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144000</v>
      </c>
      <c r="K21" s="13"/>
      <c r="L21" s="36">
        <v>81000</v>
      </c>
      <c r="M21" s="36"/>
      <c r="N21" s="36">
        <f t="shared" si="0"/>
        <v>291000</v>
      </c>
      <c r="O21" s="36"/>
      <c r="P21" s="36">
        <v>372000</v>
      </c>
      <c r="Q21" s="36"/>
      <c r="R21" s="36">
        <v>372000</v>
      </c>
    </row>
    <row r="22" spans="1:18" s="7" customFormat="1" ht="14.1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1542000</v>
      </c>
      <c r="K22" s="13"/>
      <c r="L22" s="36">
        <v>1350000</v>
      </c>
      <c r="M22" s="36"/>
      <c r="N22" s="36">
        <f t="shared" si="0"/>
        <v>762000</v>
      </c>
      <c r="O22" s="36"/>
      <c r="P22" s="36">
        <v>2112000</v>
      </c>
      <c r="Q22" s="36"/>
      <c r="R22" s="36">
        <v>2112000</v>
      </c>
    </row>
    <row r="23" spans="1:18" s="7" customFormat="1" ht="14.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>
        <v>2805250</v>
      </c>
      <c r="K23" s="13"/>
      <c r="L23" s="36">
        <v>563200</v>
      </c>
      <c r="M23" s="36"/>
      <c r="N23" s="36">
        <f t="shared" si="0"/>
        <v>11490188.289999999</v>
      </c>
      <c r="O23" s="36"/>
      <c r="P23" s="36">
        <v>12053388.289999999</v>
      </c>
      <c r="Q23" s="36"/>
      <c r="R23" s="36">
        <v>6336000</v>
      </c>
    </row>
    <row r="24" spans="1:18" s="7" customFormat="1" ht="14.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60</v>
      </c>
      <c r="J24" s="13">
        <v>421625.32</v>
      </c>
      <c r="K24" s="13"/>
      <c r="L24" s="36">
        <v>82342.13</v>
      </c>
      <c r="M24" s="36"/>
      <c r="N24" s="36">
        <f t="shared" si="0"/>
        <v>1152457.8700000001</v>
      </c>
      <c r="O24" s="36"/>
      <c r="P24" s="36">
        <v>1234800</v>
      </c>
      <c r="Q24" s="36"/>
      <c r="R24" s="36">
        <v>633600</v>
      </c>
    </row>
    <row r="25" spans="1:18" s="7" customFormat="1" ht="14.1" customHeight="1" x14ac:dyDescent="0.2">
      <c r="A25" s="86" t="s">
        <v>22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146</v>
      </c>
      <c r="J25" s="13">
        <v>4658874.75</v>
      </c>
      <c r="K25" s="13"/>
      <c r="L25" s="36">
        <v>12784918</v>
      </c>
      <c r="M25" s="36"/>
      <c r="N25" s="36">
        <f t="shared" ref="N25:N33" si="1">P25-L25</f>
        <v>43851167.640000001</v>
      </c>
      <c r="O25" s="36"/>
      <c r="P25" s="36">
        <f>56632085.64+4000</f>
        <v>56636085.640000001</v>
      </c>
      <c r="Q25" s="36"/>
      <c r="R25" s="36">
        <v>10000000</v>
      </c>
    </row>
    <row r="26" spans="1:18" s="7" customFormat="1" ht="14.1" hidden="1" customHeight="1" x14ac:dyDescent="0.2">
      <c r="A26" s="86" t="s">
        <v>23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24</v>
      </c>
      <c r="J26" s="36">
        <v>0</v>
      </c>
      <c r="K26" s="36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4.1" customHeight="1" x14ac:dyDescent="0.2">
      <c r="A27" s="86" t="s">
        <v>27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28</v>
      </c>
      <c r="J27" s="36">
        <v>13328024.4</v>
      </c>
      <c r="K27" s="36"/>
      <c r="L27" s="36"/>
      <c r="M27" s="36"/>
      <c r="N27" s="36">
        <f>P27-L27</f>
        <v>22677306</v>
      </c>
      <c r="O27" s="36"/>
      <c r="P27" s="36">
        <v>22677306</v>
      </c>
      <c r="Q27" s="36"/>
      <c r="R27" s="199">
        <v>22813721</v>
      </c>
    </row>
    <row r="28" spans="1:18" s="7" customFormat="1" ht="14.1" customHeight="1" x14ac:dyDescent="0.2">
      <c r="A28" s="86" t="s">
        <v>25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26</v>
      </c>
      <c r="J28" s="36">
        <v>2021250</v>
      </c>
      <c r="K28" s="36"/>
      <c r="L28" s="36"/>
      <c r="M28" s="36"/>
      <c r="N28" s="36">
        <f t="shared" si="1"/>
        <v>3430000</v>
      </c>
      <c r="O28" s="36"/>
      <c r="P28" s="36">
        <v>3430000</v>
      </c>
      <c r="Q28" s="36"/>
      <c r="R28" s="199">
        <v>3250000</v>
      </c>
    </row>
    <row r="29" spans="1:18" s="7" customFormat="1" ht="14.1" customHeight="1" x14ac:dyDescent="0.2">
      <c r="A29" s="86" t="s">
        <v>140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49</v>
      </c>
      <c r="J29" s="13">
        <v>12933313</v>
      </c>
      <c r="K29" s="13"/>
      <c r="L29" s="36">
        <v>12172945</v>
      </c>
      <c r="M29" s="36"/>
      <c r="N29" s="36">
        <f>P29-L29</f>
        <v>10375077.359999999</v>
      </c>
      <c r="O29" s="36"/>
      <c r="P29" s="36">
        <v>22548022.359999999</v>
      </c>
      <c r="Q29" s="36"/>
      <c r="R29" s="199">
        <v>22813721</v>
      </c>
    </row>
    <row r="30" spans="1:18" s="7" customFormat="1" ht="14.1" customHeight="1" x14ac:dyDescent="0.2">
      <c r="A30" s="86" t="s">
        <v>263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8</v>
      </c>
      <c r="J30" s="36">
        <v>18796745.43</v>
      </c>
      <c r="K30" s="36"/>
      <c r="L30" s="36">
        <v>8698833.6699999999</v>
      </c>
      <c r="M30" s="36"/>
      <c r="N30" s="36">
        <f t="shared" si="1"/>
        <v>23956486.969999999</v>
      </c>
      <c r="O30" s="36"/>
      <c r="P30" s="36">
        <v>32655320.640000001</v>
      </c>
      <c r="Q30" s="36"/>
      <c r="R30" s="199">
        <v>32851758.239999998</v>
      </c>
    </row>
    <row r="31" spans="1:18" s="7" customFormat="1" ht="14.1" customHeight="1" x14ac:dyDescent="0.2">
      <c r="A31" s="86" t="s">
        <v>30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10</v>
      </c>
      <c r="J31" s="36">
        <v>477100</v>
      </c>
      <c r="K31" s="36"/>
      <c r="L31" s="36">
        <v>221400</v>
      </c>
      <c r="M31" s="36"/>
      <c r="N31" s="36">
        <f t="shared" si="1"/>
        <v>601800</v>
      </c>
      <c r="O31" s="36"/>
      <c r="P31" s="36">
        <v>823200</v>
      </c>
      <c r="Q31" s="36"/>
      <c r="R31" s="36">
        <v>780000</v>
      </c>
    </row>
    <row r="32" spans="1:18" s="7" customFormat="1" ht="14.1" customHeight="1" x14ac:dyDescent="0.2">
      <c r="A32" s="86" t="s">
        <v>31</v>
      </c>
      <c r="B32" s="111"/>
      <c r="C32" s="111"/>
      <c r="D32" s="112"/>
      <c r="E32" s="112">
        <v>5</v>
      </c>
      <c r="F32" s="113" t="s">
        <v>7</v>
      </c>
      <c r="G32" s="112" t="s">
        <v>29</v>
      </c>
      <c r="H32" s="112" t="s">
        <v>15</v>
      </c>
      <c r="J32" s="36">
        <v>1706765.37</v>
      </c>
      <c r="K32" s="36"/>
      <c r="L32" s="36">
        <v>1043341.05</v>
      </c>
      <c r="M32" s="36"/>
      <c r="N32" s="36">
        <f t="shared" si="1"/>
        <v>2822224.6500000004</v>
      </c>
      <c r="O32" s="36"/>
      <c r="P32" s="36">
        <v>3865565.7</v>
      </c>
      <c r="Q32" s="36"/>
      <c r="R32" s="199">
        <v>4764964.8</v>
      </c>
    </row>
    <row r="33" spans="1:21" s="7" customFormat="1" ht="14.1" customHeight="1" x14ac:dyDescent="0.2">
      <c r="A33" s="86" t="s">
        <v>32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17</v>
      </c>
      <c r="J33" s="36">
        <v>475151.07</v>
      </c>
      <c r="K33" s="36"/>
      <c r="L33" s="36">
        <v>220721.96</v>
      </c>
      <c r="M33" s="36"/>
      <c r="N33" s="36">
        <f t="shared" si="1"/>
        <v>602478.04</v>
      </c>
      <c r="O33" s="36"/>
      <c r="P33" s="36">
        <v>823200</v>
      </c>
      <c r="Q33" s="36"/>
      <c r="R33" s="36">
        <v>780000</v>
      </c>
    </row>
    <row r="34" spans="1:21" s="7" customFormat="1" ht="14.1" customHeight="1" x14ac:dyDescent="0.2">
      <c r="A34" s="86" t="s">
        <v>148</v>
      </c>
      <c r="B34" s="111"/>
      <c r="C34" s="111"/>
      <c r="D34" s="112"/>
      <c r="E34" s="112">
        <v>5</v>
      </c>
      <c r="F34" s="113" t="s">
        <v>7</v>
      </c>
      <c r="G34" s="112" t="s">
        <v>34</v>
      </c>
      <c r="H34" s="112" t="s">
        <v>10</v>
      </c>
      <c r="J34" s="36"/>
      <c r="K34" s="36"/>
      <c r="L34" s="36"/>
      <c r="M34" s="36"/>
      <c r="N34" s="36"/>
      <c r="O34" s="36"/>
      <c r="P34" s="36"/>
      <c r="Q34" s="36"/>
      <c r="R34" s="36"/>
    </row>
    <row r="35" spans="1:21" s="7" customFormat="1" ht="14.1" customHeight="1" x14ac:dyDescent="0.2">
      <c r="A35" s="86" t="s">
        <v>33</v>
      </c>
      <c r="B35" s="111"/>
      <c r="C35" s="111"/>
      <c r="D35" s="112"/>
      <c r="E35" s="112">
        <v>5</v>
      </c>
      <c r="F35" s="113" t="s">
        <v>7</v>
      </c>
      <c r="G35" s="112" t="s">
        <v>34</v>
      </c>
      <c r="H35" s="112" t="s">
        <v>15</v>
      </c>
      <c r="J35" s="36">
        <v>2518164.59</v>
      </c>
      <c r="K35" s="36"/>
      <c r="L35" s="36"/>
      <c r="M35" s="36"/>
      <c r="N35" s="36">
        <f>P35-L35</f>
        <v>5156136.3600000003</v>
      </c>
      <c r="O35" s="36"/>
      <c r="P35" s="36">
        <v>5156136.3600000003</v>
      </c>
      <c r="Q35" s="36"/>
      <c r="R35" s="36">
        <v>1201400.7</v>
      </c>
    </row>
    <row r="36" spans="1:21" s="7" customFormat="1" ht="14.1" customHeight="1" x14ac:dyDescent="0.2">
      <c r="A36" s="86" t="s">
        <v>35</v>
      </c>
      <c r="B36" s="111"/>
      <c r="C36" s="111"/>
      <c r="D36" s="112"/>
      <c r="E36" s="112">
        <v>5</v>
      </c>
      <c r="F36" s="113" t="s">
        <v>7</v>
      </c>
      <c r="G36" s="112" t="s">
        <v>34</v>
      </c>
      <c r="H36" s="112" t="s">
        <v>49</v>
      </c>
      <c r="J36" s="36">
        <v>2245000</v>
      </c>
      <c r="K36" s="36"/>
      <c r="L36" s="36">
        <v>238472.89</v>
      </c>
      <c r="M36" s="36"/>
      <c r="N36" s="36">
        <f>P36-L36</f>
        <v>3534527.11</v>
      </c>
      <c r="O36" s="36"/>
      <c r="P36" s="36">
        <v>3773000</v>
      </c>
      <c r="Q36" s="36"/>
      <c r="R36" s="36">
        <v>3250000</v>
      </c>
    </row>
    <row r="37" spans="1:21" s="7" customFormat="1" ht="12.75" hidden="1" customHeight="1" x14ac:dyDescent="0.2">
      <c r="A37" s="86" t="s">
        <v>149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64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21" s="7" customFormat="1" ht="18.95" customHeight="1" x14ac:dyDescent="0.2">
      <c r="A38" s="63" t="s">
        <v>36</v>
      </c>
      <c r="B38" s="26"/>
      <c r="C38" s="26"/>
      <c r="J38" s="161">
        <f>SUM(J17:J37)</f>
        <v>230508686.65000001</v>
      </c>
      <c r="K38" s="162"/>
      <c r="L38" s="161">
        <f>SUM(L17:L37)</f>
        <v>112419718.79999998</v>
      </c>
      <c r="M38" s="36"/>
      <c r="N38" s="161">
        <f>SUM(N17:N37)</f>
        <v>342285124.76000005</v>
      </c>
      <c r="O38" s="36"/>
      <c r="P38" s="161">
        <f>SUM(P17:P37)</f>
        <v>454704843.56</v>
      </c>
      <c r="Q38" s="36"/>
      <c r="R38" s="161">
        <f>SUM(R17:R37)</f>
        <v>401443875.93000001</v>
      </c>
      <c r="U38" s="7" t="s">
        <v>274</v>
      </c>
    </row>
    <row r="39" spans="1:21" s="7" customFormat="1" ht="6" customHeight="1" x14ac:dyDescent="0.2">
      <c r="A39" s="17"/>
      <c r="B39" s="17"/>
      <c r="C39" s="17"/>
      <c r="J39" s="162"/>
      <c r="K39" s="162"/>
      <c r="L39" s="36"/>
      <c r="M39" s="36"/>
      <c r="N39" s="36"/>
      <c r="O39" s="36"/>
      <c r="P39" s="36"/>
      <c r="Q39" s="36"/>
      <c r="R39" s="36"/>
    </row>
    <row r="40" spans="1:21" s="7" customFormat="1" ht="15.95" customHeight="1" x14ac:dyDescent="0.2">
      <c r="A40" s="68" t="s">
        <v>188</v>
      </c>
      <c r="B40" s="12"/>
      <c r="C40" s="12"/>
      <c r="J40" s="36"/>
      <c r="K40" s="36"/>
      <c r="L40" s="36"/>
      <c r="M40" s="36"/>
      <c r="N40" s="36"/>
      <c r="O40" s="36"/>
      <c r="P40" s="36"/>
      <c r="Q40" s="36"/>
      <c r="R40" s="36"/>
    </row>
    <row r="41" spans="1:21" s="7" customFormat="1" ht="6" customHeight="1" x14ac:dyDescent="0.2">
      <c r="A41" s="68"/>
      <c r="B41" s="12"/>
      <c r="C41" s="12"/>
      <c r="J41" s="36"/>
      <c r="K41" s="36"/>
      <c r="L41" s="36"/>
      <c r="M41" s="36"/>
      <c r="N41" s="36"/>
      <c r="O41" s="36"/>
      <c r="P41" s="36"/>
      <c r="Q41" s="36"/>
      <c r="R41" s="36"/>
    </row>
    <row r="42" spans="1:21" s="7" customFormat="1" ht="14.1" customHeight="1" x14ac:dyDescent="0.2">
      <c r="A42" s="86" t="s">
        <v>37</v>
      </c>
      <c r="B42" s="111"/>
      <c r="C42" s="111"/>
      <c r="D42" s="112"/>
      <c r="E42" s="112">
        <v>5</v>
      </c>
      <c r="F42" s="113" t="s">
        <v>12</v>
      </c>
      <c r="G42" s="112" t="s">
        <v>7</v>
      </c>
      <c r="H42" s="112" t="s">
        <v>8</v>
      </c>
      <c r="J42" s="36">
        <v>49146</v>
      </c>
      <c r="K42" s="36"/>
      <c r="L42" s="36">
        <v>1548</v>
      </c>
      <c r="M42" s="36"/>
      <c r="N42" s="36">
        <f t="shared" ref="N42:N74" si="2">P42-L42</f>
        <v>220452</v>
      </c>
      <c r="O42" s="36"/>
      <c r="P42" s="36">
        <v>222000</v>
      </c>
      <c r="Q42" s="36"/>
      <c r="R42" s="36">
        <v>67200</v>
      </c>
    </row>
    <row r="43" spans="1:21" s="7" customFormat="1" ht="12.75" hidden="1" customHeight="1" x14ac:dyDescent="0.2">
      <c r="A43" s="86" t="s">
        <v>38</v>
      </c>
      <c r="B43" s="111"/>
      <c r="C43" s="111"/>
      <c r="E43" s="112">
        <v>5</v>
      </c>
      <c r="F43" s="113" t="s">
        <v>12</v>
      </c>
      <c r="G43" s="112" t="s">
        <v>7</v>
      </c>
      <c r="H43" s="112" t="s">
        <v>10</v>
      </c>
      <c r="J43" s="36"/>
      <c r="K43" s="36"/>
      <c r="L43" s="36"/>
      <c r="M43" s="36"/>
      <c r="N43" s="36">
        <f t="shared" si="2"/>
        <v>0</v>
      </c>
      <c r="O43" s="36"/>
      <c r="P43" s="36"/>
      <c r="Q43" s="36"/>
      <c r="R43" s="36"/>
    </row>
    <row r="44" spans="1:21" s="7" customFormat="1" ht="14.1" customHeight="1" x14ac:dyDescent="0.2">
      <c r="A44" s="86" t="s">
        <v>39</v>
      </c>
      <c r="B44" s="111"/>
      <c r="C44" s="111"/>
      <c r="E44" s="112">
        <v>5</v>
      </c>
      <c r="F44" s="113" t="s">
        <v>12</v>
      </c>
      <c r="G44" s="112" t="s">
        <v>12</v>
      </c>
      <c r="H44" s="112" t="s">
        <v>8</v>
      </c>
      <c r="J44" s="36">
        <v>35299</v>
      </c>
      <c r="K44" s="36"/>
      <c r="L44" s="36"/>
      <c r="M44" s="36"/>
      <c r="N44" s="36">
        <f t="shared" si="2"/>
        <v>303200</v>
      </c>
      <c r="O44" s="36"/>
      <c r="P44" s="36">
        <v>303200</v>
      </c>
      <c r="Q44" s="36"/>
      <c r="R44" s="36">
        <v>0</v>
      </c>
    </row>
    <row r="45" spans="1:21" s="7" customFormat="1" ht="12.75" hidden="1" customHeight="1" x14ac:dyDescent="0.2">
      <c r="A45" s="86" t="s">
        <v>142</v>
      </c>
      <c r="B45" s="111"/>
      <c r="C45" s="111"/>
      <c r="D45" s="112"/>
      <c r="E45" s="112">
        <v>5</v>
      </c>
      <c r="F45" s="113" t="s">
        <v>12</v>
      </c>
      <c r="G45" s="112" t="s">
        <v>12</v>
      </c>
      <c r="H45" s="112" t="s">
        <v>10</v>
      </c>
      <c r="J45" s="36"/>
      <c r="K45" s="36"/>
      <c r="L45" s="36"/>
      <c r="M45" s="36"/>
      <c r="N45" s="36">
        <f t="shared" si="2"/>
        <v>0</v>
      </c>
      <c r="O45" s="36"/>
      <c r="P45" s="36"/>
      <c r="Q45" s="36"/>
      <c r="R45" s="36"/>
    </row>
    <row r="46" spans="1:21" s="7" customFormat="1" ht="14.1" customHeight="1" x14ac:dyDescent="0.2">
      <c r="A46" s="86" t="s">
        <v>40</v>
      </c>
      <c r="B46" s="111"/>
      <c r="C46" s="111"/>
      <c r="D46" s="112"/>
      <c r="E46" s="112">
        <v>5</v>
      </c>
      <c r="F46" s="113" t="s">
        <v>12</v>
      </c>
      <c r="G46" s="112" t="s">
        <v>29</v>
      </c>
      <c r="H46" s="112" t="s">
        <v>8</v>
      </c>
      <c r="J46" s="36">
        <v>180220.7</v>
      </c>
      <c r="K46" s="36"/>
      <c r="L46" s="36">
        <v>101129.9</v>
      </c>
      <c r="M46" s="36"/>
      <c r="N46" s="36">
        <f t="shared" si="2"/>
        <v>398870.1</v>
      </c>
      <c r="O46" s="36"/>
      <c r="P46" s="36">
        <v>500000</v>
      </c>
      <c r="Q46" s="36"/>
      <c r="R46" s="36">
        <v>500000</v>
      </c>
    </row>
    <row r="47" spans="1:21" s="7" customFormat="1" ht="12.75" hidden="1" customHeight="1" x14ac:dyDescent="0.2">
      <c r="A47" s="86" t="s">
        <v>41</v>
      </c>
      <c r="B47" s="111"/>
      <c r="C47" s="111"/>
      <c r="D47" s="112"/>
      <c r="E47" s="112">
        <v>5</v>
      </c>
      <c r="F47" s="113" t="s">
        <v>12</v>
      </c>
      <c r="G47" s="112" t="s">
        <v>29</v>
      </c>
      <c r="H47" s="112" t="s">
        <v>10</v>
      </c>
      <c r="J47" s="36"/>
      <c r="K47" s="36"/>
      <c r="L47" s="36"/>
      <c r="M47" s="36"/>
      <c r="N47" s="36">
        <f t="shared" si="2"/>
        <v>0</v>
      </c>
      <c r="O47" s="36"/>
      <c r="P47" s="36"/>
      <c r="Q47" s="36"/>
      <c r="R47" s="36"/>
    </row>
    <row r="48" spans="1:21" s="7" customFormat="1" ht="12.75" hidden="1" customHeight="1" x14ac:dyDescent="0.2">
      <c r="A48" s="86" t="s">
        <v>42</v>
      </c>
      <c r="B48" s="111"/>
      <c r="C48" s="111"/>
      <c r="D48" s="112"/>
      <c r="E48" s="112">
        <v>5</v>
      </c>
      <c r="F48" s="113" t="s">
        <v>12</v>
      </c>
      <c r="G48" s="112" t="s">
        <v>29</v>
      </c>
      <c r="H48" s="112" t="s">
        <v>17</v>
      </c>
      <c r="J48" s="36"/>
      <c r="K48" s="36"/>
      <c r="L48" s="36"/>
      <c r="M48" s="36"/>
      <c r="N48" s="36">
        <f t="shared" si="2"/>
        <v>0</v>
      </c>
      <c r="O48" s="36"/>
      <c r="P48" s="36"/>
      <c r="Q48" s="36"/>
      <c r="R48" s="36"/>
    </row>
    <row r="49" spans="1:21" s="7" customFormat="1" ht="14.1" customHeight="1" x14ac:dyDescent="0.2">
      <c r="A49" s="86" t="s">
        <v>43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64</v>
      </c>
      <c r="J49" s="36">
        <v>8661676.25</v>
      </c>
      <c r="K49" s="36"/>
      <c r="L49" s="36">
        <v>4068258.35</v>
      </c>
      <c r="M49" s="36"/>
      <c r="N49" s="36">
        <f t="shared" si="2"/>
        <v>6944491.6500000004</v>
      </c>
      <c r="O49" s="36"/>
      <c r="P49" s="36">
        <v>11012750</v>
      </c>
      <c r="Q49" s="36"/>
      <c r="R49" s="200">
        <v>11012640.17</v>
      </c>
    </row>
    <row r="50" spans="1:21" s="7" customFormat="1" ht="12.75" hidden="1" customHeight="1" x14ac:dyDescent="0.2">
      <c r="A50" s="86" t="s">
        <v>88</v>
      </c>
      <c r="B50" s="111"/>
      <c r="C50" s="111"/>
      <c r="E50" s="112">
        <v>5</v>
      </c>
      <c r="F50" s="113" t="s">
        <v>12</v>
      </c>
      <c r="G50" s="112" t="s">
        <v>29</v>
      </c>
      <c r="H50" s="112" t="s">
        <v>60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21" s="7" customFormat="1" ht="14.1" customHeight="1" x14ac:dyDescent="0.2">
      <c r="A51" s="86" t="s">
        <v>150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19</v>
      </c>
      <c r="J51" s="39">
        <v>120448457.20999999</v>
      </c>
      <c r="K51" s="39"/>
      <c r="L51" s="36">
        <v>1181958.1200000001</v>
      </c>
      <c r="M51" s="36"/>
      <c r="N51" s="36">
        <f t="shared" si="2"/>
        <v>160756829.38</v>
      </c>
      <c r="O51" s="36"/>
      <c r="P51" s="36">
        <v>161938787.5</v>
      </c>
      <c r="Q51" s="36"/>
      <c r="R51" s="36">
        <v>130000000</v>
      </c>
      <c r="T51" s="7">
        <f>P51*0.2</f>
        <v>32387757.5</v>
      </c>
      <c r="U51" s="7">
        <f>P51+T51</f>
        <v>194326545</v>
      </c>
    </row>
    <row r="52" spans="1:21" s="7" customFormat="1" ht="14.1" customHeight="1" x14ac:dyDescent="0.2">
      <c r="A52" s="86" t="s">
        <v>151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82</v>
      </c>
      <c r="J52" s="39">
        <v>149475500.69</v>
      </c>
      <c r="K52" s="39"/>
      <c r="L52" s="36">
        <v>2093136</v>
      </c>
      <c r="M52" s="36"/>
      <c r="N52" s="36">
        <f t="shared" si="2"/>
        <v>178572789.87</v>
      </c>
      <c r="O52" s="36"/>
      <c r="P52" s="36">
        <f>175590725.87+5075200</f>
        <v>180665925.87</v>
      </c>
      <c r="Q52" s="36"/>
      <c r="R52" s="36">
        <v>150000000</v>
      </c>
      <c r="T52" s="7">
        <f>P52*0.2</f>
        <v>36133185.174000002</v>
      </c>
      <c r="U52" s="7">
        <f>P52+T52</f>
        <v>216799111.044</v>
      </c>
    </row>
    <row r="53" spans="1:21" s="7" customFormat="1" ht="14.1" customHeight="1" x14ac:dyDescent="0.2">
      <c r="A53" s="86" t="s">
        <v>44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45</v>
      </c>
      <c r="J53" s="39">
        <v>915151.48</v>
      </c>
      <c r="K53" s="39"/>
      <c r="L53" s="36">
        <v>169524.31</v>
      </c>
      <c r="M53" s="36"/>
      <c r="N53" s="36">
        <f t="shared" si="2"/>
        <v>1618475.69</v>
      </c>
      <c r="O53" s="36"/>
      <c r="P53" s="36">
        <v>1788000</v>
      </c>
      <c r="Q53" s="36"/>
      <c r="R53" s="36">
        <v>1442000</v>
      </c>
    </row>
    <row r="54" spans="1:21" s="7" customFormat="1" ht="12.75" hidden="1" customHeight="1" x14ac:dyDescent="0.2">
      <c r="A54" s="86" t="s">
        <v>152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102</v>
      </c>
      <c r="J54" s="36"/>
      <c r="K54" s="36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21" s="7" customFormat="1" ht="12.75" hidden="1" customHeight="1" x14ac:dyDescent="0.2">
      <c r="A55" s="86" t="s">
        <v>153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146</v>
      </c>
      <c r="J55" s="36"/>
      <c r="K55" s="36"/>
      <c r="L55" s="36"/>
      <c r="M55" s="36"/>
      <c r="N55" s="36">
        <f t="shared" si="2"/>
        <v>0</v>
      </c>
      <c r="O55" s="36"/>
      <c r="P55" s="36"/>
      <c r="Q55" s="36"/>
      <c r="R55" s="36"/>
    </row>
    <row r="56" spans="1:21" s="7" customFormat="1" ht="12.75" hidden="1" customHeight="1" x14ac:dyDescent="0.2">
      <c r="A56" s="86" t="s">
        <v>46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47</v>
      </c>
      <c r="J56" s="36"/>
      <c r="K56" s="36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21" s="7" customFormat="1" ht="12.75" hidden="1" customHeight="1" x14ac:dyDescent="0.2">
      <c r="A57" s="86" t="s">
        <v>154</v>
      </c>
      <c r="B57" s="111"/>
      <c r="C57" s="111"/>
      <c r="E57" s="112">
        <v>5</v>
      </c>
      <c r="F57" s="113" t="s">
        <v>12</v>
      </c>
      <c r="G57" s="112" t="s">
        <v>29</v>
      </c>
      <c r="H57" s="112" t="s">
        <v>15</v>
      </c>
      <c r="J57" s="36"/>
      <c r="K57" s="36"/>
      <c r="L57" s="36"/>
      <c r="M57" s="36"/>
      <c r="N57" s="36">
        <f t="shared" si="2"/>
        <v>0</v>
      </c>
      <c r="O57" s="36"/>
      <c r="P57" s="36"/>
      <c r="Q57" s="36"/>
      <c r="R57" s="36"/>
    </row>
    <row r="58" spans="1:21" s="7" customFormat="1" ht="12.75" hidden="1" customHeight="1" x14ac:dyDescent="0.2">
      <c r="A58" s="86" t="s">
        <v>51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24</v>
      </c>
      <c r="J58" s="36"/>
      <c r="K58" s="36"/>
      <c r="L58" s="36"/>
      <c r="M58" s="36"/>
      <c r="N58" s="36">
        <f t="shared" si="2"/>
        <v>0</v>
      </c>
      <c r="O58" s="36"/>
      <c r="P58" s="36"/>
      <c r="Q58" s="36"/>
      <c r="R58" s="36"/>
    </row>
    <row r="59" spans="1:21" s="7" customFormat="1" ht="14.1" customHeight="1" x14ac:dyDescent="0.2">
      <c r="A59" s="86" t="s">
        <v>48</v>
      </c>
      <c r="B59" s="111"/>
      <c r="C59" s="111"/>
      <c r="E59" s="112">
        <v>5</v>
      </c>
      <c r="F59" s="113" t="s">
        <v>12</v>
      </c>
      <c r="G59" s="112" t="s">
        <v>29</v>
      </c>
      <c r="H59" s="114" t="s">
        <v>49</v>
      </c>
      <c r="J59" s="36">
        <v>1430827.61</v>
      </c>
      <c r="K59" s="36"/>
      <c r="L59" s="36">
        <v>1159513.5</v>
      </c>
      <c r="M59" s="36"/>
      <c r="N59" s="36">
        <f t="shared" si="2"/>
        <v>4455119.5</v>
      </c>
      <c r="O59" s="36"/>
      <c r="P59" s="36">
        <v>5614633</v>
      </c>
      <c r="Q59" s="36"/>
      <c r="R59" s="36">
        <v>3000000</v>
      </c>
    </row>
    <row r="60" spans="1:21" s="7" customFormat="1" ht="14.1" customHeight="1" x14ac:dyDescent="0.2">
      <c r="A60" s="86" t="s">
        <v>50</v>
      </c>
      <c r="B60" s="111"/>
      <c r="C60" s="111"/>
      <c r="D60" s="112"/>
      <c r="E60" s="112">
        <v>5</v>
      </c>
      <c r="F60" s="113" t="s">
        <v>12</v>
      </c>
      <c r="G60" s="112" t="s">
        <v>34</v>
      </c>
      <c r="H60" s="112" t="s">
        <v>8</v>
      </c>
      <c r="J60" s="36">
        <v>7777213.5999999996</v>
      </c>
      <c r="K60" s="36"/>
      <c r="L60" s="36">
        <v>2871421.86</v>
      </c>
      <c r="M60" s="36"/>
      <c r="N60" s="36">
        <f t="shared" si="2"/>
        <v>9628578.1400000006</v>
      </c>
      <c r="O60" s="36"/>
      <c r="P60" s="36">
        <v>12500000</v>
      </c>
      <c r="Q60" s="36"/>
      <c r="R60" s="36">
        <v>9000000</v>
      </c>
    </row>
    <row r="61" spans="1:21" s="7" customFormat="1" ht="14.1" customHeight="1" x14ac:dyDescent="0.2">
      <c r="A61" s="86" t="s">
        <v>52</v>
      </c>
      <c r="B61" s="111"/>
      <c r="C61" s="111"/>
      <c r="D61" s="112"/>
      <c r="E61" s="112">
        <v>5</v>
      </c>
      <c r="F61" s="113" t="s">
        <v>12</v>
      </c>
      <c r="G61" s="112" t="s">
        <v>34</v>
      </c>
      <c r="H61" s="112" t="s">
        <v>10</v>
      </c>
      <c r="J61" s="36">
        <v>17162732.25</v>
      </c>
      <c r="K61" s="36"/>
      <c r="L61" s="36">
        <v>5157133.1500000004</v>
      </c>
      <c r="M61" s="36"/>
      <c r="N61" s="36">
        <f t="shared" si="2"/>
        <v>16618866.85</v>
      </c>
      <c r="O61" s="36"/>
      <c r="P61" s="36">
        <v>21776000</v>
      </c>
      <c r="Q61" s="36"/>
      <c r="R61" s="36">
        <v>20000000</v>
      </c>
    </row>
    <row r="62" spans="1:21" s="7" customFormat="1" ht="12.75" hidden="1" customHeight="1" x14ac:dyDescent="0.2">
      <c r="A62" s="86" t="s">
        <v>53</v>
      </c>
      <c r="B62" s="111"/>
      <c r="C62" s="111"/>
      <c r="E62" s="112">
        <v>5</v>
      </c>
      <c r="F62" s="113" t="s">
        <v>12</v>
      </c>
      <c r="G62" s="112" t="s">
        <v>54</v>
      </c>
      <c r="H62" s="112" t="s">
        <v>8</v>
      </c>
      <c r="J62" s="36"/>
      <c r="K62" s="36"/>
      <c r="L62" s="36"/>
      <c r="M62" s="36"/>
      <c r="N62" s="36">
        <f t="shared" si="2"/>
        <v>0</v>
      </c>
      <c r="O62" s="36"/>
      <c r="P62" s="36"/>
      <c r="Q62" s="36"/>
      <c r="R62" s="36"/>
    </row>
    <row r="63" spans="1:21" s="7" customFormat="1" ht="14.1" customHeight="1" x14ac:dyDescent="0.2">
      <c r="A63" s="86" t="s">
        <v>55</v>
      </c>
      <c r="B63" s="111"/>
      <c r="C63" s="111"/>
      <c r="E63" s="112">
        <v>5</v>
      </c>
      <c r="F63" s="113" t="s">
        <v>12</v>
      </c>
      <c r="G63" s="112" t="s">
        <v>54</v>
      </c>
      <c r="H63" s="112" t="s">
        <v>10</v>
      </c>
      <c r="J63" s="36">
        <v>466378.6</v>
      </c>
      <c r="K63" s="36"/>
      <c r="L63" s="36">
        <v>198999.1</v>
      </c>
      <c r="M63" s="36"/>
      <c r="N63" s="36">
        <f t="shared" si="2"/>
        <v>444200.9</v>
      </c>
      <c r="O63" s="36"/>
      <c r="P63" s="36">
        <v>643200</v>
      </c>
      <c r="Q63" s="36"/>
      <c r="R63" s="36">
        <v>500000</v>
      </c>
    </row>
    <row r="64" spans="1:21" s="7" customFormat="1" ht="14.1" customHeight="1" x14ac:dyDescent="0.2">
      <c r="A64" s="86" t="s">
        <v>56</v>
      </c>
      <c r="B64" s="111"/>
      <c r="C64" s="111"/>
      <c r="E64" s="112">
        <v>5</v>
      </c>
      <c r="F64" s="113" t="s">
        <v>12</v>
      </c>
      <c r="G64" s="112" t="s">
        <v>54</v>
      </c>
      <c r="H64" s="112" t="s">
        <v>15</v>
      </c>
      <c r="J64" s="36">
        <v>742202.79</v>
      </c>
      <c r="K64" s="36"/>
      <c r="L64" s="36">
        <v>549127.37</v>
      </c>
      <c r="M64" s="36"/>
      <c r="N64" s="36">
        <f t="shared" si="2"/>
        <v>238152.63</v>
      </c>
      <c r="O64" s="36"/>
      <c r="P64" s="36">
        <v>787280</v>
      </c>
      <c r="Q64" s="36"/>
      <c r="R64" s="36">
        <v>1200000</v>
      </c>
    </row>
    <row r="65" spans="1:18" s="7" customFormat="1" ht="12.75" hidden="1" customHeight="1" x14ac:dyDescent="0.2">
      <c r="A65" s="86" t="s">
        <v>57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17</v>
      </c>
      <c r="J65" s="36"/>
      <c r="K65" s="36"/>
      <c r="L65" s="36"/>
      <c r="M65" s="36"/>
      <c r="N65" s="36">
        <f t="shared" si="2"/>
        <v>0</v>
      </c>
      <c r="O65" s="36"/>
      <c r="P65" s="36"/>
      <c r="Q65" s="36"/>
      <c r="R65" s="36"/>
    </row>
    <row r="66" spans="1:18" s="7" customFormat="1" ht="14.1" customHeight="1" x14ac:dyDescent="0.2">
      <c r="A66" s="86" t="s">
        <v>275</v>
      </c>
      <c r="B66" s="111"/>
      <c r="C66" s="111"/>
      <c r="E66" s="112">
        <v>5</v>
      </c>
      <c r="F66" s="112" t="s">
        <v>12</v>
      </c>
      <c r="G66" s="114" t="s">
        <v>259</v>
      </c>
      <c r="H66" s="114" t="s">
        <v>10</v>
      </c>
      <c r="J66" s="36">
        <v>78500</v>
      </c>
      <c r="K66" s="36"/>
      <c r="L66" s="36"/>
      <c r="M66" s="36"/>
      <c r="N66" s="36">
        <f t="shared" si="2"/>
        <v>225000</v>
      </c>
      <c r="O66" s="36"/>
      <c r="P66" s="36">
        <v>225000</v>
      </c>
      <c r="Q66" s="36"/>
      <c r="R66" s="36">
        <v>100000</v>
      </c>
    </row>
    <row r="67" spans="1:18" s="7" customFormat="1" ht="14.1" hidden="1" customHeight="1" x14ac:dyDescent="0.2">
      <c r="A67" s="86" t="s">
        <v>58</v>
      </c>
      <c r="B67" s="111"/>
      <c r="C67" s="111"/>
      <c r="E67" s="112">
        <v>5</v>
      </c>
      <c r="F67" s="112" t="s">
        <v>12</v>
      </c>
      <c r="G67" s="112" t="s">
        <v>59</v>
      </c>
      <c r="H67" s="112" t="s">
        <v>60</v>
      </c>
      <c r="J67" s="36"/>
      <c r="K67" s="36"/>
      <c r="L67" s="36"/>
      <c r="M67" s="36"/>
      <c r="N67" s="36"/>
      <c r="O67" s="36"/>
      <c r="P67" s="36"/>
      <c r="Q67" s="36"/>
      <c r="R67" s="36"/>
    </row>
    <row r="68" spans="1:18" s="7" customFormat="1" ht="12.75" hidden="1" customHeight="1" x14ac:dyDescent="0.2">
      <c r="A68" s="86" t="s">
        <v>66</v>
      </c>
      <c r="B68" s="111"/>
      <c r="C68" s="111"/>
      <c r="E68" s="112">
        <v>5</v>
      </c>
      <c r="F68" s="113" t="s">
        <v>12</v>
      </c>
      <c r="G68" s="112" t="s">
        <v>67</v>
      </c>
      <c r="H68" s="112" t="s">
        <v>8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61</v>
      </c>
      <c r="B69" s="111"/>
      <c r="C69" s="111"/>
      <c r="E69" s="112">
        <v>5</v>
      </c>
      <c r="F69" s="113" t="s">
        <v>12</v>
      </c>
      <c r="G69" s="112" t="s">
        <v>59</v>
      </c>
      <c r="H69" s="112" t="s">
        <v>8</v>
      </c>
      <c r="J69" s="36"/>
      <c r="K69" s="36"/>
      <c r="L69" s="36"/>
      <c r="M69" s="36"/>
      <c r="N69" s="36">
        <f t="shared" si="2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62</v>
      </c>
      <c r="B70" s="111"/>
      <c r="C70" s="111"/>
      <c r="E70" s="112">
        <v>5</v>
      </c>
      <c r="F70" s="113" t="s">
        <v>12</v>
      </c>
      <c r="G70" s="112" t="s">
        <v>59</v>
      </c>
      <c r="H70" s="112" t="s">
        <v>10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63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64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155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15</v>
      </c>
      <c r="J72" s="36"/>
      <c r="K72" s="36"/>
      <c r="L72" s="36"/>
      <c r="M72" s="36"/>
      <c r="N72" s="36">
        <f t="shared" si="2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156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17</v>
      </c>
      <c r="J73" s="36"/>
      <c r="K73" s="36"/>
      <c r="L73" s="36"/>
      <c r="M73" s="36"/>
      <c r="N73" s="36">
        <f t="shared" si="2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2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19</v>
      </c>
      <c r="J75" s="36"/>
      <c r="K75" s="36"/>
      <c r="L75" s="36"/>
      <c r="M75" s="36"/>
      <c r="N75" s="36">
        <f t="shared" ref="N75:N110" si="3">P75-L75</f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157</v>
      </c>
      <c r="B76" s="111"/>
      <c r="C76" s="111"/>
      <c r="E76" s="112">
        <v>5</v>
      </c>
      <c r="F76" s="113" t="s">
        <v>12</v>
      </c>
      <c r="G76" s="112" t="s">
        <v>93</v>
      </c>
      <c r="H76" s="112" t="s">
        <v>8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66</v>
      </c>
      <c r="B77" s="111"/>
      <c r="C77" s="111"/>
      <c r="E77" s="112">
        <v>5</v>
      </c>
      <c r="F77" s="113" t="s">
        <v>12</v>
      </c>
      <c r="G77" s="112" t="s">
        <v>67</v>
      </c>
      <c r="H77" s="112" t="s">
        <v>8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68</v>
      </c>
      <c r="B78" s="111"/>
      <c r="C78" s="111"/>
      <c r="E78" s="112">
        <v>5</v>
      </c>
      <c r="F78" s="113" t="s">
        <v>12</v>
      </c>
      <c r="G78" s="112" t="s">
        <v>67</v>
      </c>
      <c r="H78" s="112" t="s">
        <v>10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158</v>
      </c>
      <c r="B79" s="111"/>
      <c r="C79" s="111"/>
      <c r="E79" s="112">
        <v>5</v>
      </c>
      <c r="F79" s="113" t="s">
        <v>12</v>
      </c>
      <c r="G79" s="112" t="s">
        <v>70</v>
      </c>
      <c r="H79" s="112" t="s">
        <v>8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159</v>
      </c>
      <c r="B80" s="111"/>
      <c r="C80" s="111"/>
      <c r="E80" s="112">
        <v>5</v>
      </c>
      <c r="F80" s="113" t="s">
        <v>12</v>
      </c>
      <c r="G80" s="112" t="s">
        <v>70</v>
      </c>
      <c r="H80" s="112" t="s">
        <v>10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4.1" customHeight="1" x14ac:dyDescent="0.2">
      <c r="A81" s="86" t="s">
        <v>69</v>
      </c>
      <c r="B81" s="111"/>
      <c r="C81" s="111"/>
      <c r="E81" s="112">
        <v>5</v>
      </c>
      <c r="F81" s="113" t="s">
        <v>12</v>
      </c>
      <c r="G81" s="112" t="s">
        <v>70</v>
      </c>
      <c r="H81" s="112" t="s">
        <v>15</v>
      </c>
      <c r="J81" s="36">
        <v>43117297.539999999</v>
      </c>
      <c r="K81" s="36"/>
      <c r="L81" s="36">
        <v>17959777.300000001</v>
      </c>
      <c r="M81" s="36"/>
      <c r="N81" s="36">
        <f t="shared" si="3"/>
        <v>37589474.700000003</v>
      </c>
      <c r="O81" s="36"/>
      <c r="P81" s="36">
        <v>55549252</v>
      </c>
      <c r="Q81" s="36"/>
      <c r="R81" s="200">
        <v>73308678</v>
      </c>
    </row>
    <row r="82" spans="1:18" s="7" customFormat="1" ht="14.1" customHeight="1" x14ac:dyDescent="0.2">
      <c r="A82" s="86" t="s">
        <v>160</v>
      </c>
      <c r="B82" s="111"/>
      <c r="C82" s="111"/>
      <c r="E82" s="112">
        <v>5</v>
      </c>
      <c r="F82" s="113" t="s">
        <v>12</v>
      </c>
      <c r="G82" s="112" t="s">
        <v>163</v>
      </c>
      <c r="H82" s="112" t="s">
        <v>8</v>
      </c>
      <c r="J82" s="36">
        <v>2591608</v>
      </c>
      <c r="K82" s="36"/>
      <c r="L82" s="36">
        <v>970168.5</v>
      </c>
      <c r="M82" s="36"/>
      <c r="N82" s="36">
        <f t="shared" si="3"/>
        <v>3879831.5</v>
      </c>
      <c r="O82" s="36"/>
      <c r="P82" s="36">
        <v>4850000</v>
      </c>
      <c r="Q82" s="36"/>
      <c r="R82" s="36">
        <v>4800000</v>
      </c>
    </row>
    <row r="83" spans="1:18" s="7" customFormat="1" ht="12.75" hidden="1" customHeight="1" x14ac:dyDescent="0.2">
      <c r="A83" s="86" t="s">
        <v>161</v>
      </c>
      <c r="B83" s="111"/>
      <c r="C83" s="111"/>
      <c r="E83" s="112">
        <v>5</v>
      </c>
      <c r="F83" s="113" t="s">
        <v>12</v>
      </c>
      <c r="G83" s="112" t="s">
        <v>163</v>
      </c>
      <c r="H83" s="114" t="s">
        <v>49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4.1" customHeight="1" x14ac:dyDescent="0.2">
      <c r="A84" s="86" t="s">
        <v>71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10</v>
      </c>
      <c r="J84" s="36">
        <v>18227510.359999999</v>
      </c>
      <c r="K84" s="36"/>
      <c r="L84" s="36">
        <v>8902162.0600000005</v>
      </c>
      <c r="M84" s="36"/>
      <c r="N84" s="36">
        <f t="shared" si="3"/>
        <v>14638579.019999998</v>
      </c>
      <c r="O84" s="36"/>
      <c r="P84" s="36">
        <v>23540741.079999998</v>
      </c>
      <c r="Q84" s="36"/>
      <c r="R84" s="36">
        <v>22350000</v>
      </c>
    </row>
    <row r="85" spans="1:18" s="7" customFormat="1" ht="12.75" hidden="1" customHeight="1" x14ac:dyDescent="0.2">
      <c r="A85" s="86" t="s">
        <v>162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15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72</v>
      </c>
      <c r="B86" s="111"/>
      <c r="C86" s="111"/>
      <c r="E86" s="112">
        <v>5</v>
      </c>
      <c r="F86" s="113" t="s">
        <v>12</v>
      </c>
      <c r="G86" s="112" t="s">
        <v>70</v>
      </c>
      <c r="H86" s="112" t="s">
        <v>49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4.1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4" t="s">
        <v>163</v>
      </c>
      <c r="H87" s="112" t="s">
        <v>49</v>
      </c>
      <c r="J87" s="36"/>
      <c r="K87" s="36"/>
      <c r="L87" s="36"/>
      <c r="M87" s="36"/>
      <c r="N87" s="36">
        <f t="shared" ref="N87" si="4">P87-L87</f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164</v>
      </c>
      <c r="B88" s="111"/>
      <c r="C88" s="111"/>
      <c r="E88" s="112">
        <v>5</v>
      </c>
      <c r="F88" s="113" t="s">
        <v>12</v>
      </c>
      <c r="G88" s="112" t="s">
        <v>74</v>
      </c>
      <c r="H88" s="112" t="s">
        <v>10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4.1" hidden="1" customHeight="1" x14ac:dyDescent="0.2">
      <c r="A89" s="86" t="s">
        <v>165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15</v>
      </c>
      <c r="J89" s="36"/>
      <c r="K89" s="36"/>
      <c r="L89" s="36"/>
      <c r="M89" s="36"/>
      <c r="N89" s="36"/>
      <c r="O89" s="36"/>
      <c r="P89" s="36"/>
      <c r="Q89" s="36"/>
      <c r="R89" s="36"/>
    </row>
    <row r="90" spans="1:18" s="7" customFormat="1" ht="14.1" customHeight="1" x14ac:dyDescent="0.2">
      <c r="A90" s="86" t="s">
        <v>166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17</v>
      </c>
      <c r="J90" s="36">
        <v>224869.34</v>
      </c>
      <c r="K90" s="36"/>
      <c r="L90" s="36"/>
      <c r="M90" s="36"/>
      <c r="N90" s="36">
        <f t="shared" si="3"/>
        <v>789662.5</v>
      </c>
      <c r="O90" s="36"/>
      <c r="P90" s="36">
        <v>789662.5</v>
      </c>
      <c r="Q90" s="36"/>
      <c r="R90" s="36">
        <v>600000</v>
      </c>
    </row>
    <row r="91" spans="1:18" s="7" customFormat="1" ht="12.75" hidden="1" customHeight="1" x14ac:dyDescent="0.2">
      <c r="A91" s="86" t="s">
        <v>167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8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168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45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4.1" customHeight="1" x14ac:dyDescent="0.2">
      <c r="A93" s="86" t="s">
        <v>73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64</v>
      </c>
      <c r="J93" s="36">
        <v>1028250.4</v>
      </c>
      <c r="K93" s="36"/>
      <c r="L93" s="36"/>
      <c r="M93" s="36"/>
      <c r="N93" s="36">
        <f t="shared" si="3"/>
        <v>1322250</v>
      </c>
      <c r="O93" s="36"/>
      <c r="P93" s="36">
        <v>1322250</v>
      </c>
      <c r="Q93" s="36"/>
      <c r="R93" s="201">
        <v>1132250</v>
      </c>
    </row>
    <row r="94" spans="1:18" s="7" customFormat="1" ht="14.1" customHeight="1" x14ac:dyDescent="0.2">
      <c r="A94" s="86" t="s">
        <v>75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19</v>
      </c>
      <c r="J94" s="36">
        <v>0</v>
      </c>
      <c r="K94" s="36"/>
      <c r="L94" s="36"/>
      <c r="M94" s="36"/>
      <c r="N94" s="36">
        <f t="shared" si="3"/>
        <v>200000</v>
      </c>
      <c r="O94" s="36"/>
      <c r="P94" s="36">
        <v>200000</v>
      </c>
      <c r="Q94" s="36"/>
      <c r="R94" s="36">
        <v>103000</v>
      </c>
    </row>
    <row r="95" spans="1:18" s="7" customFormat="1" ht="12.75" hidden="1" customHeight="1" x14ac:dyDescent="0.2">
      <c r="A95" s="86" t="s">
        <v>76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60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4.1" customHeight="1" x14ac:dyDescent="0.2">
      <c r="A96" s="86" t="s">
        <v>77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49</v>
      </c>
      <c r="J96" s="36">
        <v>43498</v>
      </c>
      <c r="K96" s="36"/>
      <c r="L96" s="36"/>
      <c r="M96" s="36"/>
      <c r="N96" s="36">
        <f t="shared" si="3"/>
        <v>150000</v>
      </c>
      <c r="O96" s="36"/>
      <c r="P96" s="36">
        <v>150000</v>
      </c>
      <c r="Q96" s="36"/>
      <c r="R96" s="36">
        <v>135000</v>
      </c>
    </row>
    <row r="97" spans="1:18" s="7" customFormat="1" ht="12.75" hidden="1" customHeight="1" x14ac:dyDescent="0.2">
      <c r="A97" s="86" t="s">
        <v>165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15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78</v>
      </c>
      <c r="B98" s="111"/>
      <c r="C98" s="111"/>
      <c r="E98" s="112">
        <v>5</v>
      </c>
      <c r="F98" s="113" t="s">
        <v>12</v>
      </c>
      <c r="G98" s="112" t="s">
        <v>79</v>
      </c>
      <c r="H98" s="112" t="s">
        <v>10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80</v>
      </c>
      <c r="B99" s="111"/>
      <c r="C99" s="111"/>
      <c r="E99" s="112">
        <v>5</v>
      </c>
      <c r="F99" s="113" t="s">
        <v>12</v>
      </c>
      <c r="G99" s="112" t="s">
        <v>79</v>
      </c>
      <c r="H99" s="112" t="s">
        <v>15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169</v>
      </c>
      <c r="B100" s="111"/>
      <c r="C100" s="111"/>
      <c r="E100" s="112">
        <v>5</v>
      </c>
      <c r="F100" s="113" t="s">
        <v>12</v>
      </c>
      <c r="G100" s="112" t="s">
        <v>79</v>
      </c>
      <c r="H100" s="113" t="s">
        <v>60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170</v>
      </c>
      <c r="B101" s="111"/>
      <c r="C101" s="111"/>
      <c r="E101" s="112">
        <v>5</v>
      </c>
      <c r="F101" s="113" t="s">
        <v>12</v>
      </c>
      <c r="G101" s="112" t="s">
        <v>79</v>
      </c>
      <c r="H101" s="113" t="s">
        <v>19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171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82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81</v>
      </c>
      <c r="B103" s="111"/>
      <c r="C103" s="111"/>
      <c r="E103" s="112">
        <v>5</v>
      </c>
      <c r="F103" s="113" t="s">
        <v>12</v>
      </c>
      <c r="G103" s="112" t="s">
        <v>59</v>
      </c>
      <c r="H103" s="113" t="s">
        <v>82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83</v>
      </c>
      <c r="B104" s="111"/>
      <c r="C104" s="111"/>
      <c r="E104" s="112">
        <v>5</v>
      </c>
      <c r="F104" s="113" t="s">
        <v>12</v>
      </c>
      <c r="G104" s="112" t="s">
        <v>84</v>
      </c>
      <c r="H104" s="113" t="s">
        <v>8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85</v>
      </c>
      <c r="B105" s="111"/>
      <c r="C105" s="111"/>
      <c r="E105" s="112">
        <v>5</v>
      </c>
      <c r="F105" s="113" t="s">
        <v>12</v>
      </c>
      <c r="G105" s="112" t="s">
        <v>84</v>
      </c>
      <c r="H105" s="113" t="s">
        <v>10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86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15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4.1" customHeight="1" x14ac:dyDescent="0.2">
      <c r="A107" s="86" t="s">
        <v>172</v>
      </c>
      <c r="B107" s="111"/>
      <c r="C107" s="111"/>
      <c r="E107" s="112">
        <v>5</v>
      </c>
      <c r="F107" s="113" t="s">
        <v>12</v>
      </c>
      <c r="G107" s="112" t="s">
        <v>174</v>
      </c>
      <c r="H107" s="113" t="s">
        <v>8</v>
      </c>
      <c r="J107" s="36">
        <v>303170</v>
      </c>
      <c r="K107" s="36"/>
      <c r="L107" s="36">
        <v>120300</v>
      </c>
      <c r="M107" s="36"/>
      <c r="N107" s="36">
        <f t="shared" si="3"/>
        <v>525495</v>
      </c>
      <c r="O107" s="36"/>
      <c r="P107" s="36">
        <v>645795</v>
      </c>
      <c r="Q107" s="36"/>
      <c r="R107" s="36">
        <v>550000</v>
      </c>
    </row>
    <row r="108" spans="1:18" s="7" customFormat="1" ht="12.75" hidden="1" customHeight="1" x14ac:dyDescent="0.2">
      <c r="A108" s="86" t="s">
        <v>173</v>
      </c>
      <c r="B108" s="111"/>
      <c r="C108" s="111"/>
      <c r="E108" s="112">
        <v>5</v>
      </c>
      <c r="F108" s="113" t="s">
        <v>12</v>
      </c>
      <c r="G108" s="112" t="s">
        <v>174</v>
      </c>
      <c r="H108" s="113" t="s">
        <v>10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87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15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4.1" customHeight="1" x14ac:dyDescent="0.2">
      <c r="A110" s="86" t="s">
        <v>260</v>
      </c>
      <c r="B110" s="111"/>
      <c r="C110" s="111"/>
      <c r="E110" s="112">
        <v>5</v>
      </c>
      <c r="F110" s="113" t="s">
        <v>12</v>
      </c>
      <c r="G110" s="134">
        <v>99</v>
      </c>
      <c r="H110" s="135">
        <v>990</v>
      </c>
      <c r="J110" s="36">
        <v>5249099.72</v>
      </c>
      <c r="K110" s="36"/>
      <c r="L110" s="36">
        <v>1805362.86</v>
      </c>
      <c r="M110" s="36"/>
      <c r="N110" s="36">
        <f t="shared" si="3"/>
        <v>8867927.1400000006</v>
      </c>
      <c r="O110" s="36"/>
      <c r="P110" s="36">
        <v>10673290</v>
      </c>
      <c r="Q110" s="36"/>
      <c r="R110" s="36">
        <v>100000000</v>
      </c>
    </row>
    <row r="111" spans="1:18" s="7" customFormat="1" ht="18.95" customHeight="1" x14ac:dyDescent="0.2">
      <c r="A111" s="323" t="s">
        <v>191</v>
      </c>
      <c r="B111" s="323"/>
      <c r="C111" s="323"/>
      <c r="J111" s="161">
        <f>SUM(J42:J110)</f>
        <v>378208609.54000014</v>
      </c>
      <c r="K111" s="162"/>
      <c r="L111" s="161">
        <f>SUM(L42:L110)</f>
        <v>47309520.380000003</v>
      </c>
      <c r="M111" s="36"/>
      <c r="N111" s="161">
        <f>SUM(N42:N110)</f>
        <v>448388246.56999993</v>
      </c>
      <c r="O111" s="36"/>
      <c r="P111" s="161">
        <f>SUM(P42:P110)</f>
        <v>495697766.94999999</v>
      </c>
      <c r="Q111" s="36"/>
      <c r="R111" s="161">
        <f>SUM(R42:R110)</f>
        <v>529800768.16999996</v>
      </c>
    </row>
    <row r="112" spans="1:18" s="7" customFormat="1" ht="6" hidden="1" customHeight="1" x14ac:dyDescent="0.2">
      <c r="A112" s="20"/>
      <c r="B112" s="20"/>
      <c r="C112" s="20"/>
      <c r="J112" s="162"/>
      <c r="K112" s="162"/>
      <c r="L112" s="36"/>
      <c r="M112" s="36"/>
      <c r="N112" s="36"/>
      <c r="O112" s="36"/>
      <c r="P112" s="36"/>
      <c r="Q112" s="36"/>
      <c r="R112" s="36"/>
    </row>
    <row r="113" spans="1:18" s="7" customFormat="1" ht="12" hidden="1" customHeight="1" x14ac:dyDescent="0.2">
      <c r="A113" s="69" t="s">
        <v>189</v>
      </c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 s="7" customFormat="1" ht="12" hidden="1" customHeight="1" x14ac:dyDescent="0.2">
      <c r="A114" s="86" t="s">
        <v>109</v>
      </c>
      <c r="E114" s="112">
        <v>5</v>
      </c>
      <c r="F114" s="113" t="s">
        <v>29</v>
      </c>
      <c r="G114" s="112" t="s">
        <v>7</v>
      </c>
      <c r="H114" s="112" t="s">
        <v>17</v>
      </c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86" t="s">
        <v>180</v>
      </c>
      <c r="E115" s="112">
        <v>5</v>
      </c>
      <c r="F115" s="113" t="s">
        <v>29</v>
      </c>
      <c r="G115" s="112" t="s">
        <v>7</v>
      </c>
      <c r="H115" s="112" t="s">
        <v>64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181</v>
      </c>
      <c r="E116" s="112">
        <v>5</v>
      </c>
      <c r="F116" s="113" t="s">
        <v>29</v>
      </c>
      <c r="G116" s="112" t="s">
        <v>7</v>
      </c>
      <c r="H116" s="114" t="s">
        <v>49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181</v>
      </c>
      <c r="E117" s="112">
        <v>5</v>
      </c>
      <c r="F117" s="113" t="s">
        <v>29</v>
      </c>
      <c r="G117" s="112" t="s">
        <v>7</v>
      </c>
      <c r="H117" s="114" t="s">
        <v>49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182</v>
      </c>
      <c r="E118" s="112">
        <v>5</v>
      </c>
      <c r="F118" s="113" t="s">
        <v>29</v>
      </c>
      <c r="G118" s="112" t="s">
        <v>7</v>
      </c>
      <c r="H118" s="112" t="s">
        <v>10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183</v>
      </c>
      <c r="E120" s="112">
        <v>5</v>
      </c>
      <c r="F120" s="113" t="s">
        <v>29</v>
      </c>
      <c r="G120" s="112" t="s">
        <v>7</v>
      </c>
      <c r="H120" s="112" t="s">
        <v>8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184</v>
      </c>
      <c r="E121" s="112">
        <v>5</v>
      </c>
      <c r="F121" s="113" t="s">
        <v>29</v>
      </c>
      <c r="G121" s="112" t="s">
        <v>7</v>
      </c>
      <c r="H121" s="112" t="s">
        <v>15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8.95" hidden="1" customHeight="1" x14ac:dyDescent="0.2">
      <c r="A122" s="63" t="s">
        <v>185</v>
      </c>
      <c r="J122" s="171">
        <f>SUM(J114:J121)</f>
        <v>0</v>
      </c>
      <c r="K122" s="172"/>
      <c r="L122" s="171">
        <f>SUM(L114:L121)</f>
        <v>0</v>
      </c>
      <c r="M122" s="172"/>
      <c r="N122" s="171">
        <f>SUM(N114:N121)</f>
        <v>0</v>
      </c>
      <c r="O122" s="172"/>
      <c r="P122" s="171">
        <f>SUM(P114:P121)</f>
        <v>0</v>
      </c>
      <c r="Q122" s="172"/>
      <c r="R122" s="171">
        <f>SUM(R114:R121)</f>
        <v>0</v>
      </c>
    </row>
    <row r="123" spans="1:18" s="7" customFormat="1" ht="6" customHeight="1" x14ac:dyDescent="0.2"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5.95" customHeight="1" x14ac:dyDescent="0.2">
      <c r="A124" s="68" t="s">
        <v>190</v>
      </c>
      <c r="B124" s="11"/>
      <c r="C124" s="11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2.75" hidden="1" customHeight="1" x14ac:dyDescent="0.2">
      <c r="A125" s="11" t="s">
        <v>89</v>
      </c>
      <c r="B125" s="24"/>
      <c r="C125" s="24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hidden="1" customHeight="1" x14ac:dyDescent="0.2">
      <c r="A126" s="70" t="s">
        <v>90</v>
      </c>
      <c r="B126" s="9"/>
      <c r="C126" s="9"/>
      <c r="E126" s="112">
        <v>1</v>
      </c>
      <c r="F126" s="113" t="s">
        <v>12</v>
      </c>
      <c r="G126" s="112" t="s">
        <v>54</v>
      </c>
      <c r="H126" s="114" t="s">
        <v>10</v>
      </c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6" customHeight="1" x14ac:dyDescent="0.2">
      <c r="A127" s="70"/>
      <c r="B127" s="9"/>
      <c r="C127" s="9"/>
      <c r="E127" s="112"/>
      <c r="F127" s="113"/>
      <c r="G127" s="112"/>
      <c r="H127" s="11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86" t="s">
        <v>92</v>
      </c>
      <c r="B128" s="111"/>
      <c r="C128" s="111"/>
      <c r="E128" s="112">
        <v>1</v>
      </c>
      <c r="F128" s="113" t="s">
        <v>93</v>
      </c>
      <c r="G128" s="112" t="s">
        <v>7</v>
      </c>
      <c r="H128" s="112" t="s">
        <v>8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94</v>
      </c>
      <c r="B129" s="111"/>
      <c r="C129" s="111"/>
      <c r="E129" s="112">
        <v>1</v>
      </c>
      <c r="F129" s="113" t="s">
        <v>93</v>
      </c>
      <c r="G129" s="112" t="s">
        <v>34</v>
      </c>
      <c r="H129" s="112" t="s">
        <v>8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95</v>
      </c>
      <c r="B130" s="116"/>
      <c r="C130" s="116"/>
      <c r="E130" s="112">
        <v>1</v>
      </c>
      <c r="F130" s="113" t="s">
        <v>93</v>
      </c>
      <c r="G130" s="112" t="s">
        <v>34</v>
      </c>
      <c r="H130" s="112" t="s">
        <v>49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customHeight="1" x14ac:dyDescent="0.2">
      <c r="A131" s="70" t="s">
        <v>90</v>
      </c>
      <c r="B131" s="111"/>
      <c r="C131" s="111"/>
      <c r="D131" s="113"/>
      <c r="E131" s="112">
        <v>1</v>
      </c>
      <c r="F131" s="113" t="s">
        <v>12</v>
      </c>
      <c r="G131" s="112" t="s">
        <v>54</v>
      </c>
      <c r="H131" s="112" t="s">
        <v>10</v>
      </c>
      <c r="J131" s="36"/>
      <c r="K131" s="36"/>
      <c r="L131" s="36"/>
      <c r="M131" s="36"/>
      <c r="N131" s="36">
        <f t="shared" ref="N131:N145" si="5">P131-L131</f>
        <v>0</v>
      </c>
      <c r="O131" s="36"/>
      <c r="P131" s="36"/>
      <c r="Q131" s="36"/>
      <c r="R131" s="36">
        <v>810000</v>
      </c>
    </row>
    <row r="132" spans="1:18" s="7" customFormat="1" ht="14.1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  <c r="J132" s="36">
        <v>174998</v>
      </c>
      <c r="K132" s="36"/>
      <c r="L132" s="36"/>
      <c r="M132" s="36"/>
      <c r="N132" s="36">
        <f t="shared" si="5"/>
        <v>0</v>
      </c>
      <c r="O132" s="36"/>
      <c r="P132" s="36"/>
      <c r="Q132" s="36"/>
      <c r="R132" s="36">
        <v>5000000</v>
      </c>
    </row>
    <row r="133" spans="1:18" s="7" customFormat="1" ht="14.1" hidden="1" customHeight="1" x14ac:dyDescent="0.2">
      <c r="A133" s="86" t="s">
        <v>98</v>
      </c>
      <c r="B133" s="116"/>
      <c r="C133" s="116"/>
      <c r="E133" s="112">
        <v>1</v>
      </c>
      <c r="F133" s="113" t="s">
        <v>93</v>
      </c>
      <c r="G133" s="112" t="s">
        <v>54</v>
      </c>
      <c r="H133" s="112" t="s">
        <v>15</v>
      </c>
      <c r="J133" s="36"/>
      <c r="K133" s="36"/>
      <c r="L133" s="36"/>
      <c r="M133" s="36"/>
      <c r="N133" s="36">
        <f t="shared" si="5"/>
        <v>0</v>
      </c>
      <c r="O133" s="36"/>
      <c r="P133" s="36"/>
      <c r="Q133" s="36"/>
      <c r="R133" s="36"/>
    </row>
    <row r="134" spans="1:18" s="7" customFormat="1" ht="12.75" hidden="1" customHeight="1" x14ac:dyDescent="0.2">
      <c r="A134" s="86" t="s">
        <v>99</v>
      </c>
      <c r="B134" s="116"/>
      <c r="C134" s="116"/>
      <c r="D134" s="113"/>
      <c r="E134" s="112">
        <v>1</v>
      </c>
      <c r="F134" s="113" t="s">
        <v>93</v>
      </c>
      <c r="G134" s="112" t="s">
        <v>93</v>
      </c>
      <c r="H134" s="112" t="s">
        <v>10</v>
      </c>
      <c r="J134" s="36"/>
      <c r="K134" s="36"/>
      <c r="L134" s="36"/>
      <c r="M134" s="36"/>
      <c r="N134" s="36">
        <f t="shared" si="5"/>
        <v>0</v>
      </c>
      <c r="O134" s="36"/>
      <c r="P134" s="36"/>
      <c r="Q134" s="36"/>
      <c r="R134" s="36"/>
    </row>
    <row r="135" spans="1:18" s="7" customFormat="1" ht="14.1" hidden="1" customHeight="1" x14ac:dyDescent="0.2">
      <c r="A135" s="86" t="s">
        <v>100</v>
      </c>
      <c r="B135" s="111"/>
      <c r="C135" s="111"/>
      <c r="E135" s="112">
        <v>1</v>
      </c>
      <c r="F135" s="113" t="s">
        <v>93</v>
      </c>
      <c r="G135" s="112" t="s">
        <v>54</v>
      </c>
      <c r="H135" s="112" t="s">
        <v>19</v>
      </c>
      <c r="J135" s="36"/>
      <c r="K135" s="36"/>
      <c r="L135" s="36"/>
      <c r="M135" s="36"/>
      <c r="N135" s="36">
        <f t="shared" si="5"/>
        <v>0</v>
      </c>
      <c r="O135" s="36"/>
      <c r="P135" s="36"/>
      <c r="Q135" s="36"/>
      <c r="R135" s="36"/>
    </row>
    <row r="136" spans="1:18" s="7" customFormat="1" ht="12.75" hidden="1" customHeight="1" x14ac:dyDescent="0.2">
      <c r="A136" s="86" t="s">
        <v>175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82</v>
      </c>
      <c r="J136" s="36"/>
      <c r="K136" s="36"/>
      <c r="L136" s="36"/>
      <c r="M136" s="36"/>
      <c r="N136" s="36">
        <f t="shared" si="5"/>
        <v>0</v>
      </c>
      <c r="O136" s="36"/>
      <c r="P136" s="36"/>
      <c r="Q136" s="36"/>
      <c r="R136" s="36"/>
    </row>
    <row r="137" spans="1:18" s="7" customFormat="1" ht="14.1" hidden="1" customHeight="1" x14ac:dyDescent="0.2">
      <c r="A137" s="86" t="s">
        <v>176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45</v>
      </c>
      <c r="J137" s="36"/>
      <c r="K137" s="36"/>
      <c r="L137" s="36"/>
      <c r="M137" s="36"/>
      <c r="N137" s="36">
        <f t="shared" si="5"/>
        <v>0</v>
      </c>
      <c r="O137" s="36"/>
      <c r="P137" s="36"/>
      <c r="Q137" s="36"/>
      <c r="R137" s="36"/>
    </row>
    <row r="138" spans="1:18" s="7" customFormat="1" ht="14.1" customHeight="1" x14ac:dyDescent="0.2">
      <c r="A138" s="86" t="s">
        <v>177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146</v>
      </c>
      <c r="J138" s="36">
        <v>2878730</v>
      </c>
      <c r="K138" s="36"/>
      <c r="L138" s="36"/>
      <c r="M138" s="36"/>
      <c r="N138" s="36">
        <f t="shared" si="5"/>
        <v>1000000</v>
      </c>
      <c r="O138" s="36"/>
      <c r="P138" s="36">
        <v>1000000</v>
      </c>
      <c r="Q138" s="36"/>
      <c r="R138" s="36">
        <v>15000000</v>
      </c>
    </row>
    <row r="139" spans="1:18" s="7" customFormat="1" ht="12.75" hidden="1" customHeight="1" x14ac:dyDescent="0.2">
      <c r="A139" s="86" t="s">
        <v>101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102</v>
      </c>
      <c r="J139" s="36"/>
      <c r="K139" s="36"/>
      <c r="L139" s="36"/>
      <c r="M139" s="36"/>
      <c r="N139" s="36">
        <f t="shared" si="5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103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24</v>
      </c>
      <c r="J140" s="36"/>
      <c r="K140" s="36"/>
      <c r="L140" s="36"/>
      <c r="M140" s="36"/>
      <c r="N140" s="36">
        <f t="shared" si="5"/>
        <v>0</v>
      </c>
      <c r="O140" s="36"/>
      <c r="P140" s="36"/>
      <c r="Q140" s="36"/>
      <c r="R140" s="36"/>
    </row>
    <row r="141" spans="1:18" s="7" customFormat="1" ht="12.75" customHeight="1" x14ac:dyDescent="0.2">
      <c r="A141" s="86" t="s">
        <v>104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28</v>
      </c>
      <c r="J141" s="36"/>
      <c r="K141" s="36"/>
      <c r="L141" s="36"/>
      <c r="M141" s="36"/>
      <c r="N141" s="36">
        <f t="shared" si="5"/>
        <v>0</v>
      </c>
      <c r="O141" s="36"/>
      <c r="P141" s="36"/>
      <c r="Q141" s="36"/>
      <c r="R141" s="36">
        <v>1000000</v>
      </c>
    </row>
    <row r="142" spans="1:18" s="7" customFormat="1" ht="14.1" customHeight="1" x14ac:dyDescent="0.2">
      <c r="A142" s="86" t="s">
        <v>105</v>
      </c>
      <c r="B142" s="111"/>
      <c r="C142" s="111"/>
      <c r="D142" s="113"/>
      <c r="E142" s="112">
        <v>1</v>
      </c>
      <c r="F142" s="113" t="s">
        <v>93</v>
      </c>
      <c r="G142" s="112" t="s">
        <v>54</v>
      </c>
      <c r="H142" s="114" t="s">
        <v>49</v>
      </c>
      <c r="J142" s="36"/>
      <c r="K142" s="36"/>
      <c r="L142" s="36"/>
      <c r="M142" s="36"/>
      <c r="N142" s="36">
        <f>P142-L142</f>
        <v>35000</v>
      </c>
      <c r="O142" s="36"/>
      <c r="P142" s="36">
        <v>35000</v>
      </c>
      <c r="Q142" s="36"/>
      <c r="R142" s="36">
        <v>200000</v>
      </c>
    </row>
    <row r="143" spans="1:18" s="7" customFormat="1" ht="12.75" hidden="1" customHeight="1" x14ac:dyDescent="0.2">
      <c r="A143" s="86" t="s">
        <v>106</v>
      </c>
      <c r="B143" s="111"/>
      <c r="C143" s="111"/>
      <c r="D143" s="113"/>
      <c r="E143" s="112">
        <v>1</v>
      </c>
      <c r="F143" s="113" t="s">
        <v>93</v>
      </c>
      <c r="G143" s="112" t="s">
        <v>67</v>
      </c>
      <c r="H143" s="112" t="s">
        <v>8</v>
      </c>
      <c r="J143" s="36"/>
      <c r="K143" s="36"/>
      <c r="L143" s="36"/>
      <c r="M143" s="36"/>
      <c r="N143" s="36">
        <f t="shared" si="5"/>
        <v>0</v>
      </c>
      <c r="O143" s="36"/>
      <c r="P143" s="36"/>
      <c r="Q143" s="36"/>
      <c r="R143" s="36"/>
    </row>
    <row r="144" spans="1:18" s="7" customFormat="1" ht="12.75" customHeight="1" x14ac:dyDescent="0.2">
      <c r="A144" s="86" t="s">
        <v>97</v>
      </c>
      <c r="B144" s="111"/>
      <c r="C144" s="111"/>
      <c r="E144" s="112">
        <v>1</v>
      </c>
      <c r="F144" s="113" t="s">
        <v>93</v>
      </c>
      <c r="G144" s="112" t="s">
        <v>93</v>
      </c>
      <c r="H144" s="112" t="s">
        <v>8</v>
      </c>
      <c r="J144" s="36">
        <v>1625410</v>
      </c>
      <c r="K144" s="36"/>
      <c r="L144" s="36"/>
      <c r="M144" s="36"/>
      <c r="N144" s="36">
        <f t="shared" si="5"/>
        <v>3000000</v>
      </c>
      <c r="O144" s="36"/>
      <c r="P144" s="36">
        <v>3000000</v>
      </c>
      <c r="Q144" s="36"/>
      <c r="R144" s="200">
        <v>5000000</v>
      </c>
    </row>
    <row r="145" spans="1:20" s="7" customFormat="1" ht="14.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  <c r="J145" s="36">
        <v>215567</v>
      </c>
      <c r="K145" s="36"/>
      <c r="L145" s="36"/>
      <c r="M145" s="36"/>
      <c r="N145" s="36">
        <f t="shared" si="5"/>
        <v>1000000</v>
      </c>
      <c r="O145" s="36"/>
      <c r="P145" s="36">
        <v>1000000</v>
      </c>
      <c r="Q145" s="36"/>
      <c r="R145" s="200">
        <v>11789300</v>
      </c>
    </row>
    <row r="146" spans="1:20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20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20" s="7" customFormat="1" ht="9" hidden="1" customHeight="1" x14ac:dyDescent="0.2">
      <c r="A148" s="86"/>
      <c r="B148" s="111"/>
      <c r="C148" s="111"/>
      <c r="D148" s="113"/>
      <c r="E148" s="112"/>
      <c r="F148" s="113"/>
      <c r="G148" s="112"/>
      <c r="H148" s="112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20" s="7" customFormat="1" ht="12.75" hidden="1" customHeight="1" x14ac:dyDescent="0.2">
      <c r="A149" s="127" t="s">
        <v>319</v>
      </c>
      <c r="B149" s="111"/>
      <c r="C149" s="111"/>
      <c r="D149" s="113"/>
      <c r="E149" s="112"/>
      <c r="F149" s="113"/>
      <c r="G149" s="112"/>
      <c r="H149" s="112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20" s="7" customFormat="1" ht="12.75" hidden="1" customHeight="1" x14ac:dyDescent="0.2">
      <c r="A150" s="86" t="s">
        <v>90</v>
      </c>
      <c r="B150" s="111"/>
      <c r="C150" s="111"/>
      <c r="D150" s="113"/>
      <c r="E150" s="182">
        <v>1</v>
      </c>
      <c r="F150" s="113" t="s">
        <v>12</v>
      </c>
      <c r="G150" s="112" t="s">
        <v>54</v>
      </c>
      <c r="H150" s="112" t="s">
        <v>10</v>
      </c>
      <c r="J150" s="36">
        <v>94662.09</v>
      </c>
      <c r="K150" s="36"/>
      <c r="L150" s="36">
        <v>65914.2</v>
      </c>
      <c r="M150" s="36"/>
      <c r="N150" s="36">
        <f t="shared" ref="N150" si="6">P150-L150</f>
        <v>154085.79999999999</v>
      </c>
      <c r="O150" s="36"/>
      <c r="P150" s="36">
        <v>220000</v>
      </c>
      <c r="Q150" s="36"/>
      <c r="R150" s="36">
        <v>810000</v>
      </c>
    </row>
    <row r="151" spans="1:20" s="27" customFormat="1" ht="18.95" customHeight="1" x14ac:dyDescent="0.2">
      <c r="A151" s="63" t="s">
        <v>108</v>
      </c>
      <c r="B151" s="26"/>
      <c r="C151" s="26"/>
      <c r="J151" s="21">
        <f>SUM(J128:J150)</f>
        <v>4989367.09</v>
      </c>
      <c r="K151" s="23"/>
      <c r="L151" s="21">
        <f>SUM(L128:L150)</f>
        <v>65914.2</v>
      </c>
      <c r="M151" s="172"/>
      <c r="N151" s="21">
        <f>SUM(N128:N150)</f>
        <v>5189085.8</v>
      </c>
      <c r="O151" s="172"/>
      <c r="P151" s="21">
        <f>SUM(P128:P150)</f>
        <v>5255000</v>
      </c>
      <c r="Q151" s="172"/>
      <c r="R151" s="21">
        <f>SUM(R131:R148)</f>
        <v>38799300</v>
      </c>
      <c r="T151" s="27">
        <f>SUM(R132:R150)</f>
        <v>38799300</v>
      </c>
    </row>
    <row r="152" spans="1:20" s="7" customFormat="1" ht="6" customHeight="1" x14ac:dyDescent="0.2"/>
    <row r="153" spans="1:20" s="7" customFormat="1" ht="20.100000000000001" customHeight="1" thickBot="1" x14ac:dyDescent="0.25">
      <c r="A153" s="11" t="s">
        <v>110</v>
      </c>
      <c r="B153" s="28"/>
      <c r="C153" s="28"/>
      <c r="J153" s="29">
        <f>J151+J111+J38</f>
        <v>613706663.28000009</v>
      </c>
      <c r="K153" s="23"/>
      <c r="L153" s="29">
        <f>L38+L111+L122+L151</f>
        <v>159795153.37999997</v>
      </c>
      <c r="N153" s="29">
        <f>N38+N111+N122+N151</f>
        <v>795862457.12999988</v>
      </c>
      <c r="P153" s="29">
        <f>P38+P111+P122+P151</f>
        <v>955657610.50999999</v>
      </c>
      <c r="R153" s="29">
        <f>R38+R111+R122+R151</f>
        <v>970043944.0999999</v>
      </c>
    </row>
    <row r="154" spans="1:20" s="7" customFormat="1" ht="12.75" customHeight="1" thickTop="1" x14ac:dyDescent="0.2">
      <c r="A154" s="11"/>
      <c r="B154" s="28"/>
      <c r="C154" s="28"/>
      <c r="J154" s="23"/>
      <c r="K154" s="23"/>
      <c r="L154" s="23"/>
      <c r="N154" s="23"/>
      <c r="P154" s="23"/>
      <c r="R154" s="23"/>
    </row>
    <row r="155" spans="1:20" s="7" customFormat="1" ht="12.75" customHeight="1" x14ac:dyDescent="0.2">
      <c r="A155" s="11"/>
      <c r="B155" s="28"/>
      <c r="C155" s="28"/>
      <c r="J155" s="23"/>
      <c r="K155" s="23"/>
      <c r="L155" s="23"/>
      <c r="N155" s="23"/>
      <c r="P155" s="23"/>
      <c r="R155" s="23"/>
    </row>
    <row r="156" spans="1:20" s="7" customFormat="1" x14ac:dyDescent="0.2">
      <c r="A156" s="31"/>
      <c r="B156" s="31"/>
      <c r="C156" s="31"/>
      <c r="D156" s="34"/>
      <c r="E156" s="31"/>
      <c r="F156" s="31"/>
      <c r="H156" s="35"/>
      <c r="I156" s="35"/>
      <c r="J156" s="35"/>
      <c r="K156" s="35"/>
      <c r="L156" s="35"/>
      <c r="M156" s="35"/>
    </row>
    <row r="157" spans="1:20" x14ac:dyDescent="0.2">
      <c r="A157" s="75" t="s">
        <v>133</v>
      </c>
      <c r="D157" s="33"/>
      <c r="E157" s="32"/>
      <c r="G157" s="31"/>
      <c r="I157" s="31"/>
      <c r="J157" s="321" t="s">
        <v>276</v>
      </c>
      <c r="K157" s="321"/>
      <c r="L157" s="321"/>
      <c r="M157" s="47"/>
      <c r="N157" s="49"/>
      <c r="O157" s="49"/>
      <c r="P157" s="48" t="s">
        <v>135</v>
      </c>
    </row>
    <row r="158" spans="1:20" x14ac:dyDescent="0.2">
      <c r="A158" s="50"/>
      <c r="D158" s="33"/>
      <c r="E158" s="51"/>
      <c r="G158" s="31"/>
      <c r="I158" s="31"/>
      <c r="J158" s="120"/>
      <c r="M158" s="120"/>
      <c r="N158" s="36"/>
      <c r="O158" s="36"/>
      <c r="P158" s="51"/>
    </row>
    <row r="159" spans="1:20" x14ac:dyDescent="0.2">
      <c r="A159" s="50"/>
      <c r="D159" s="33"/>
      <c r="E159" s="51"/>
      <c r="G159" s="31"/>
      <c r="I159" s="31"/>
      <c r="J159" s="120"/>
      <c r="M159" s="120"/>
      <c r="N159" s="36"/>
      <c r="O159" s="36"/>
      <c r="P159" s="51"/>
    </row>
    <row r="160" spans="1:20" x14ac:dyDescent="0.2">
      <c r="A160" s="50"/>
      <c r="D160" s="33"/>
      <c r="E160" s="51"/>
      <c r="G160" s="31"/>
      <c r="I160" s="31"/>
      <c r="J160" s="31"/>
      <c r="M160" s="31"/>
      <c r="P160" s="53"/>
    </row>
    <row r="161" spans="1:16" x14ac:dyDescent="0.2">
      <c r="A161" s="322" t="s">
        <v>288</v>
      </c>
      <c r="B161" s="322"/>
      <c r="C161" s="322"/>
      <c r="D161" s="31"/>
      <c r="E161" s="53"/>
      <c r="G161" s="31"/>
      <c r="I161" s="31"/>
      <c r="J161" s="322" t="s">
        <v>291</v>
      </c>
      <c r="K161" s="322"/>
      <c r="L161" s="322"/>
      <c r="M161" s="57"/>
      <c r="N161" s="59"/>
      <c r="O161" s="59"/>
      <c r="P161" s="58" t="s">
        <v>137</v>
      </c>
    </row>
    <row r="162" spans="1:16" x14ac:dyDescent="0.2">
      <c r="A162" s="321" t="s">
        <v>316</v>
      </c>
      <c r="B162" s="321"/>
      <c r="C162" s="321"/>
      <c r="D162" s="55"/>
      <c r="E162" s="56"/>
      <c r="G162" s="31"/>
      <c r="I162" s="31"/>
      <c r="J162" s="321" t="s">
        <v>269</v>
      </c>
      <c r="K162" s="321"/>
      <c r="L162" s="321"/>
      <c r="M162" s="33"/>
      <c r="N162" s="35"/>
      <c r="O162" s="35"/>
      <c r="P162" s="60" t="s">
        <v>139</v>
      </c>
    </row>
    <row r="163" spans="1:16" x14ac:dyDescent="0.2">
      <c r="A163" s="74"/>
      <c r="D163" s="31"/>
      <c r="E163" s="32"/>
      <c r="G163" s="31"/>
      <c r="I163" s="31"/>
      <c r="J163" s="33"/>
      <c r="M163" s="33"/>
      <c r="N163" s="35"/>
      <c r="O163" s="35"/>
      <c r="P163" s="60"/>
    </row>
  </sheetData>
  <customSheetViews>
    <customSheetView guid="{1998FCB8-1FEB-4076-ACE6-A225EE4366B3}" showPageBreaks="1" printArea="1" hiddenRows="1" view="pageBreakPreview">
      <pane xSplit="1" ySplit="14" topLeftCell="B138" activePane="bottomRight" state="frozen"/>
      <selection pane="bottomRight" activeCell="P25" sqref="P25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96" activePane="bottomRight" state="frozen"/>
      <selection pane="bottomRight" activeCell="A139" sqref="A139:XFD139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8" activePane="bottomRight" state="frozen"/>
      <selection pane="bottomRight" activeCell="A34" sqref="A34:XFD34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D145" activePane="bottomRight" state="frozen"/>
      <selection pane="bottomRight" activeCell="R150" sqref="R15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4">
    <mergeCell ref="J157:L157"/>
    <mergeCell ref="J161:L161"/>
    <mergeCell ref="J162:L162"/>
    <mergeCell ref="A13:C13"/>
    <mergeCell ref="E13:H13"/>
    <mergeCell ref="A111:C111"/>
    <mergeCell ref="A161:C161"/>
    <mergeCell ref="A162:C16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9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2" manualBreakCount="2">
    <brk id="39" max="18" man="1"/>
    <brk id="122" max="1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7"/>
  <sheetViews>
    <sheetView view="pageBreakPreview" zoomScaleNormal="85" zoomScaleSheetLayoutView="100" workbookViewId="0">
      <pane xSplit="1" ySplit="14" topLeftCell="B110" activePane="bottomRight" state="frozen"/>
      <selection pane="topRight" activeCell="B1" sqref="B1"/>
      <selection pane="bottomLeft" activeCell="A15" sqref="A15"/>
      <selection pane="bottomRight" activeCell="A156" sqref="A156:C1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335</v>
      </c>
      <c r="H4" s="3"/>
      <c r="I4" s="3"/>
      <c r="R4" s="77">
        <v>4411</v>
      </c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336</v>
      </c>
    </row>
    <row r="7" spans="1:19" ht="15" customHeight="1" x14ac:dyDescent="0.2">
      <c r="A7" s="6" t="s">
        <v>121</v>
      </c>
      <c r="B7" s="2" t="s">
        <v>113</v>
      </c>
      <c r="C7" s="6" t="s">
        <v>224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204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204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203"/>
      <c r="B12" s="203"/>
      <c r="C12" s="203"/>
      <c r="D12" s="9"/>
      <c r="E12" s="203"/>
      <c r="F12" s="203"/>
      <c r="G12" s="203"/>
      <c r="H12" s="20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205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8404694.6699999999</v>
      </c>
      <c r="K17" s="13"/>
      <c r="L17" s="36">
        <v>4063609.77</v>
      </c>
      <c r="M17" s="36"/>
      <c r="N17" s="36">
        <f>P17-L17</f>
        <v>6516174.2300000004</v>
      </c>
      <c r="O17" s="36"/>
      <c r="P17" s="36">
        <v>10579784</v>
      </c>
      <c r="Q17" s="36"/>
      <c r="R17" s="36">
        <v>11021727.119999999</v>
      </c>
    </row>
    <row r="18" spans="1:18" s="7" customFormat="1" ht="14.1" customHeight="1" x14ac:dyDescent="0.2">
      <c r="A18" s="130" t="s">
        <v>9</v>
      </c>
      <c r="B18" s="131"/>
      <c r="C18" s="131"/>
      <c r="E18" s="132">
        <v>5</v>
      </c>
      <c r="F18" s="133" t="s">
        <v>7</v>
      </c>
      <c r="G18" s="132" t="s">
        <v>7</v>
      </c>
      <c r="H18" s="132" t="s">
        <v>10</v>
      </c>
      <c r="J18" s="39">
        <v>487644</v>
      </c>
      <c r="K18" s="39"/>
      <c r="L18" s="36">
        <v>203185</v>
      </c>
      <c r="M18" s="36"/>
      <c r="N18" s="36">
        <f t="shared" ref="N18:N36" si="0">P18-L18</f>
        <v>284459</v>
      </c>
      <c r="O18" s="36"/>
      <c r="P18" s="36">
        <v>487644</v>
      </c>
      <c r="Q18" s="36"/>
      <c r="R18" s="36">
        <v>857232</v>
      </c>
    </row>
    <row r="19" spans="1:18" s="7" customFormat="1" ht="14.1" customHeight="1" x14ac:dyDescent="0.2">
      <c r="A19" s="86" t="s">
        <v>11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8</v>
      </c>
      <c r="J19" s="13">
        <v>471294.94</v>
      </c>
      <c r="K19" s="13"/>
      <c r="L19" s="36">
        <v>216760.77</v>
      </c>
      <c r="M19" s="36"/>
      <c r="N19" s="36">
        <f t="shared" si="0"/>
        <v>407239.23</v>
      </c>
      <c r="O19" s="36"/>
      <c r="P19" s="36">
        <v>624000</v>
      </c>
      <c r="Q19" s="36"/>
      <c r="R19" s="36">
        <v>648000</v>
      </c>
    </row>
    <row r="20" spans="1:18" s="7" customFormat="1" ht="14.1" customHeight="1" x14ac:dyDescent="0.2">
      <c r="A20" s="86" t="s">
        <v>13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10</v>
      </c>
      <c r="J20" s="13">
        <v>102000</v>
      </c>
      <c r="K20" s="13"/>
      <c r="L20" s="36">
        <v>46750</v>
      </c>
      <c r="M20" s="36"/>
      <c r="N20" s="36">
        <f t="shared" si="0"/>
        <v>55250</v>
      </c>
      <c r="O20" s="36"/>
      <c r="P20" s="36">
        <v>102000</v>
      </c>
      <c r="Q20" s="36"/>
      <c r="R20" s="36">
        <v>102000</v>
      </c>
    </row>
    <row r="21" spans="1:18" s="7" customFormat="1" ht="14.1" customHeight="1" x14ac:dyDescent="0.2">
      <c r="A21" s="86" t="s">
        <v>14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15</v>
      </c>
      <c r="J21" s="13">
        <v>0</v>
      </c>
      <c r="K21" s="13"/>
      <c r="L21" s="36"/>
      <c r="M21" s="36"/>
      <c r="N21" s="36">
        <f t="shared" si="0"/>
        <v>25500</v>
      </c>
      <c r="O21" s="36"/>
      <c r="P21" s="36">
        <v>25500</v>
      </c>
      <c r="Q21" s="36"/>
      <c r="R21" s="36">
        <v>25500</v>
      </c>
    </row>
    <row r="22" spans="1:18" s="7" customFormat="1" ht="14.1" customHeight="1" x14ac:dyDescent="0.2">
      <c r="A22" s="86" t="s">
        <v>16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17</v>
      </c>
      <c r="J22" s="13">
        <v>114000</v>
      </c>
      <c r="K22" s="13"/>
      <c r="L22" s="36">
        <v>102000</v>
      </c>
      <c r="M22" s="36"/>
      <c r="N22" s="36">
        <f t="shared" si="0"/>
        <v>48000</v>
      </c>
      <c r="O22" s="36"/>
      <c r="P22" s="36">
        <v>150000</v>
      </c>
      <c r="Q22" s="36"/>
      <c r="R22" s="36">
        <v>150000</v>
      </c>
    </row>
    <row r="23" spans="1:18" s="7" customFormat="1" ht="14.1" customHeight="1" x14ac:dyDescent="0.2">
      <c r="A23" s="86" t="s">
        <v>141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64</v>
      </c>
      <c r="J23" s="13">
        <v>208450</v>
      </c>
      <c r="K23" s="13"/>
      <c r="L23" s="36">
        <v>33850</v>
      </c>
      <c r="M23" s="36"/>
      <c r="N23" s="36">
        <f t="shared" si="0"/>
        <v>434150</v>
      </c>
      <c r="O23" s="36"/>
      <c r="P23" s="36">
        <v>468000</v>
      </c>
      <c r="Q23" s="36"/>
      <c r="R23" s="36">
        <v>450000</v>
      </c>
    </row>
    <row r="24" spans="1:18" s="7" customFormat="1" ht="14.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60</v>
      </c>
      <c r="J24" s="13">
        <v>31492.62</v>
      </c>
      <c r="K24" s="13"/>
      <c r="L24" s="36">
        <v>5106.74</v>
      </c>
      <c r="M24" s="36"/>
      <c r="N24" s="36">
        <f t="shared" si="0"/>
        <v>41693.26</v>
      </c>
      <c r="O24" s="36"/>
      <c r="P24" s="36">
        <v>46800</v>
      </c>
      <c r="Q24" s="36"/>
      <c r="R24" s="36">
        <v>45000</v>
      </c>
    </row>
    <row r="25" spans="1:18" s="7" customFormat="1" ht="14.1" customHeight="1" x14ac:dyDescent="0.2">
      <c r="A25" s="86" t="s">
        <v>22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146</v>
      </c>
      <c r="J25" s="13">
        <v>298887.25</v>
      </c>
      <c r="K25" s="13"/>
      <c r="L25" s="36">
        <v>519979.5</v>
      </c>
      <c r="M25" s="36"/>
      <c r="N25" s="36">
        <f t="shared" si="0"/>
        <v>2084687.94</v>
      </c>
      <c r="O25" s="36"/>
      <c r="P25" s="36">
        <v>2604667.44</v>
      </c>
      <c r="Q25" s="36"/>
      <c r="R25" s="36">
        <v>2203324.6800000002</v>
      </c>
    </row>
    <row r="26" spans="1:18" s="7" customFormat="1" ht="14.1" hidden="1" customHeight="1" x14ac:dyDescent="0.2">
      <c r="A26" s="86" t="s">
        <v>23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24</v>
      </c>
      <c r="J26" s="36"/>
      <c r="K26" s="36"/>
      <c r="L26" s="36"/>
      <c r="M26" s="36"/>
      <c r="N26" s="36">
        <f t="shared" si="0"/>
        <v>0</v>
      </c>
      <c r="O26" s="36"/>
      <c r="P26" s="36"/>
      <c r="Q26" s="36"/>
      <c r="R26" s="36"/>
    </row>
    <row r="27" spans="1:18" s="7" customFormat="1" ht="14.1" customHeight="1" x14ac:dyDescent="0.2">
      <c r="A27" s="86" t="s">
        <v>27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28</v>
      </c>
      <c r="J27" s="36">
        <v>767056.25</v>
      </c>
      <c r="K27" s="36"/>
      <c r="L27" s="36"/>
      <c r="M27" s="36"/>
      <c r="N27" s="36">
        <f t="shared" si="0"/>
        <v>922960</v>
      </c>
      <c r="O27" s="36"/>
      <c r="P27" s="36">
        <v>922960</v>
      </c>
      <c r="Q27" s="36"/>
      <c r="R27" s="36">
        <v>992878</v>
      </c>
    </row>
    <row r="28" spans="1:18" s="7" customFormat="1" ht="14.1" customHeight="1" x14ac:dyDescent="0.2">
      <c r="A28" s="86" t="s">
        <v>25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26</v>
      </c>
      <c r="J28" s="36">
        <v>102250</v>
      </c>
      <c r="K28" s="36"/>
      <c r="L28" s="36"/>
      <c r="M28" s="36"/>
      <c r="N28" s="36">
        <f t="shared" si="0"/>
        <v>130000</v>
      </c>
      <c r="O28" s="36"/>
      <c r="P28" s="36">
        <v>130000</v>
      </c>
      <c r="Q28" s="36"/>
      <c r="R28" s="36">
        <v>135000</v>
      </c>
    </row>
    <row r="29" spans="1:18" s="7" customFormat="1" ht="14.1" customHeight="1" x14ac:dyDescent="0.2">
      <c r="A29" s="86" t="s">
        <v>140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49</v>
      </c>
      <c r="J29" s="13">
        <v>767414</v>
      </c>
      <c r="K29" s="13"/>
      <c r="L29" s="36">
        <v>710971</v>
      </c>
      <c r="M29" s="36"/>
      <c r="N29" s="36">
        <f t="shared" si="0"/>
        <v>206989</v>
      </c>
      <c r="O29" s="36"/>
      <c r="P29" s="36">
        <v>917960</v>
      </c>
      <c r="Q29" s="36"/>
      <c r="R29" s="36">
        <v>992878</v>
      </c>
    </row>
    <row r="30" spans="1:18" s="7" customFormat="1" ht="14.1" customHeight="1" x14ac:dyDescent="0.2">
      <c r="A30" s="86" t="s">
        <v>263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8</v>
      </c>
      <c r="J30" s="36">
        <v>1067604.06</v>
      </c>
      <c r="K30" s="36"/>
      <c r="L30" s="36">
        <v>516930.13</v>
      </c>
      <c r="M30" s="36"/>
      <c r="N30" s="36">
        <f t="shared" si="0"/>
        <v>812132.2699999999</v>
      </c>
      <c r="O30" s="36"/>
      <c r="P30" s="36">
        <v>1329062.3999999999</v>
      </c>
      <c r="Q30" s="36"/>
      <c r="R30" s="36">
        <v>1402267.15</v>
      </c>
    </row>
    <row r="31" spans="1:18" s="7" customFormat="1" ht="14.1" customHeight="1" x14ac:dyDescent="0.2">
      <c r="A31" s="86" t="s">
        <v>30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10</v>
      </c>
      <c r="J31" s="36">
        <v>24200</v>
      </c>
      <c r="K31" s="36"/>
      <c r="L31" s="36">
        <v>11000</v>
      </c>
      <c r="M31" s="36"/>
      <c r="N31" s="36">
        <f t="shared" si="0"/>
        <v>20200</v>
      </c>
      <c r="O31" s="36"/>
      <c r="P31" s="36">
        <v>31200</v>
      </c>
      <c r="Q31" s="36"/>
      <c r="R31" s="36">
        <v>32400</v>
      </c>
    </row>
    <row r="32" spans="1:18" s="7" customFormat="1" ht="14.1" customHeight="1" x14ac:dyDescent="0.2">
      <c r="A32" s="86" t="s">
        <v>31</v>
      </c>
      <c r="B32" s="111"/>
      <c r="C32" s="111"/>
      <c r="D32" s="112"/>
      <c r="E32" s="112">
        <v>5</v>
      </c>
      <c r="F32" s="113" t="s">
        <v>7</v>
      </c>
      <c r="G32" s="112" t="s">
        <v>29</v>
      </c>
      <c r="H32" s="112" t="s">
        <v>15</v>
      </c>
      <c r="J32" s="36">
        <v>100964.29</v>
      </c>
      <c r="K32" s="36"/>
      <c r="L32" s="36">
        <v>58142.1</v>
      </c>
      <c r="M32" s="36"/>
      <c r="N32" s="36">
        <f t="shared" si="0"/>
        <v>96853.01999999999</v>
      </c>
      <c r="O32" s="36"/>
      <c r="P32" s="36">
        <v>154995.12</v>
      </c>
      <c r="Q32" s="36"/>
      <c r="R32" s="36">
        <v>196686.63</v>
      </c>
    </row>
    <row r="33" spans="1:21" s="7" customFormat="1" ht="14.1" customHeight="1" x14ac:dyDescent="0.2">
      <c r="A33" s="86" t="s">
        <v>32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17</v>
      </c>
      <c r="J33" s="36">
        <v>24180.99</v>
      </c>
      <c r="K33" s="36"/>
      <c r="L33" s="36">
        <v>11000</v>
      </c>
      <c r="M33" s="36"/>
      <c r="N33" s="36">
        <f t="shared" si="0"/>
        <v>20200</v>
      </c>
      <c r="O33" s="36"/>
      <c r="P33" s="36">
        <v>31200</v>
      </c>
      <c r="Q33" s="36"/>
      <c r="R33" s="36">
        <v>32400</v>
      </c>
    </row>
    <row r="34" spans="1:21" s="7" customFormat="1" ht="14.1" customHeight="1" x14ac:dyDescent="0.2">
      <c r="A34" s="86" t="s">
        <v>148</v>
      </c>
      <c r="B34" s="111"/>
      <c r="C34" s="111"/>
      <c r="D34" s="112"/>
      <c r="E34" s="112">
        <v>5</v>
      </c>
      <c r="F34" s="113" t="s">
        <v>7</v>
      </c>
      <c r="G34" s="112" t="s">
        <v>34</v>
      </c>
      <c r="H34" s="112" t="s">
        <v>10</v>
      </c>
      <c r="J34" s="36">
        <v>1175713.8</v>
      </c>
      <c r="K34" s="36"/>
      <c r="L34" s="36"/>
      <c r="M34" s="36"/>
      <c r="N34" s="36"/>
      <c r="O34" s="36"/>
      <c r="P34" s="36"/>
      <c r="Q34" s="36"/>
      <c r="R34" s="36"/>
    </row>
    <row r="35" spans="1:21" s="7" customFormat="1" ht="14.1" customHeight="1" x14ac:dyDescent="0.2">
      <c r="A35" s="86" t="s">
        <v>33</v>
      </c>
      <c r="B35" s="111"/>
      <c r="C35" s="111"/>
      <c r="D35" s="112"/>
      <c r="E35" s="112">
        <v>5</v>
      </c>
      <c r="F35" s="113" t="s">
        <v>7</v>
      </c>
      <c r="G35" s="112" t="s">
        <v>34</v>
      </c>
      <c r="H35" s="112" t="s">
        <v>15</v>
      </c>
      <c r="J35" s="36">
        <v>1035814.48</v>
      </c>
      <c r="K35" s="36"/>
      <c r="L35" s="36"/>
      <c r="M35" s="36"/>
      <c r="N35" s="36"/>
      <c r="O35" s="36"/>
      <c r="P35" s="36"/>
      <c r="Q35" s="36"/>
      <c r="R35" s="36"/>
    </row>
    <row r="36" spans="1:21" s="7" customFormat="1" ht="14.1" customHeight="1" x14ac:dyDescent="0.2">
      <c r="A36" s="86" t="s">
        <v>35</v>
      </c>
      <c r="B36" s="111"/>
      <c r="C36" s="111"/>
      <c r="D36" s="112"/>
      <c r="E36" s="112">
        <v>5</v>
      </c>
      <c r="F36" s="113" t="s">
        <v>7</v>
      </c>
      <c r="G36" s="112" t="s">
        <v>34</v>
      </c>
      <c r="H36" s="112" t="s">
        <v>49</v>
      </c>
      <c r="J36" s="36">
        <v>125000</v>
      </c>
      <c r="K36" s="36"/>
      <c r="L36" s="36"/>
      <c r="M36" s="36"/>
      <c r="N36" s="36">
        <f t="shared" si="0"/>
        <v>135000</v>
      </c>
      <c r="O36" s="36"/>
      <c r="P36" s="36">
        <v>135000</v>
      </c>
      <c r="Q36" s="36"/>
      <c r="R36" s="36">
        <v>135000</v>
      </c>
    </row>
    <row r="37" spans="1:21" s="7" customFormat="1" ht="12.75" hidden="1" customHeight="1" x14ac:dyDescent="0.2">
      <c r="A37" s="86" t="s">
        <v>149</v>
      </c>
      <c r="B37" s="111"/>
      <c r="C37" s="111"/>
      <c r="D37" s="112"/>
      <c r="E37" s="112">
        <v>5</v>
      </c>
      <c r="F37" s="113" t="s">
        <v>7</v>
      </c>
      <c r="G37" s="112" t="s">
        <v>29</v>
      </c>
      <c r="H37" s="112" t="s">
        <v>64</v>
      </c>
      <c r="J37" s="36"/>
      <c r="K37" s="36"/>
      <c r="L37" s="36"/>
      <c r="M37" s="36"/>
      <c r="N37" s="36"/>
      <c r="O37" s="36"/>
      <c r="P37" s="36"/>
      <c r="Q37" s="36"/>
      <c r="R37" s="36"/>
    </row>
    <row r="38" spans="1:21" s="7" customFormat="1" ht="18.95" customHeight="1" x14ac:dyDescent="0.2">
      <c r="A38" s="63" t="s">
        <v>36</v>
      </c>
      <c r="B38" s="26"/>
      <c r="C38" s="26"/>
      <c r="J38" s="161">
        <f>SUM(J17:J36)</f>
        <v>15308661.35</v>
      </c>
      <c r="K38" s="162"/>
      <c r="L38" s="161">
        <f>SUM(L17:L37)</f>
        <v>6499285.0099999988</v>
      </c>
      <c r="M38" s="36"/>
      <c r="N38" s="161">
        <f>SUM(N17:N37)</f>
        <v>12241487.949999999</v>
      </c>
      <c r="O38" s="36"/>
      <c r="P38" s="161">
        <f>SUM(P17:P37)</f>
        <v>18740772.959999997</v>
      </c>
      <c r="Q38" s="36"/>
      <c r="R38" s="161">
        <f>SUM(R17:R37)</f>
        <v>19422293.579999994</v>
      </c>
      <c r="U38" s="7" t="s">
        <v>274</v>
      </c>
    </row>
    <row r="39" spans="1:21" s="7" customFormat="1" ht="6" customHeight="1" x14ac:dyDescent="0.2">
      <c r="A39" s="17"/>
      <c r="B39" s="17"/>
      <c r="C39" s="17"/>
      <c r="J39" s="162"/>
      <c r="K39" s="162"/>
      <c r="L39" s="36"/>
      <c r="M39" s="36"/>
      <c r="N39" s="36"/>
      <c r="O39" s="36"/>
      <c r="P39" s="36"/>
      <c r="Q39" s="36"/>
      <c r="R39" s="36"/>
    </row>
    <row r="40" spans="1:21" s="7" customFormat="1" ht="15.95" customHeight="1" x14ac:dyDescent="0.2">
      <c r="A40" s="68" t="s">
        <v>188</v>
      </c>
      <c r="B40" s="12"/>
      <c r="C40" s="12"/>
      <c r="J40" s="36"/>
      <c r="K40" s="36"/>
      <c r="L40" s="36"/>
      <c r="M40" s="36"/>
      <c r="N40" s="36"/>
      <c r="O40" s="36"/>
      <c r="P40" s="36"/>
      <c r="Q40" s="36"/>
      <c r="R40" s="36"/>
    </row>
    <row r="41" spans="1:21" s="7" customFormat="1" ht="6" customHeight="1" x14ac:dyDescent="0.2">
      <c r="A41" s="68"/>
      <c r="B41" s="12"/>
      <c r="C41" s="12"/>
      <c r="J41" s="36"/>
      <c r="K41" s="36"/>
      <c r="L41" s="36"/>
      <c r="M41" s="36"/>
      <c r="N41" s="36"/>
      <c r="O41" s="36"/>
      <c r="P41" s="36"/>
      <c r="Q41" s="36"/>
      <c r="R41" s="36"/>
    </row>
    <row r="42" spans="1:21" s="7" customFormat="1" ht="14.1" customHeight="1" x14ac:dyDescent="0.2">
      <c r="A42" s="86" t="s">
        <v>37</v>
      </c>
      <c r="B42" s="111"/>
      <c r="C42" s="111"/>
      <c r="D42" s="112"/>
      <c r="E42" s="112">
        <v>5</v>
      </c>
      <c r="F42" s="113" t="s">
        <v>12</v>
      </c>
      <c r="G42" s="112" t="s">
        <v>7</v>
      </c>
      <c r="H42" s="112" t="s">
        <v>8</v>
      </c>
      <c r="J42" s="36">
        <v>0</v>
      </c>
      <c r="K42" s="36"/>
      <c r="L42" s="36"/>
      <c r="M42" s="36"/>
      <c r="N42" s="36">
        <f>P42-L42</f>
        <v>116800</v>
      </c>
      <c r="O42" s="36"/>
      <c r="P42" s="36">
        <v>116800</v>
      </c>
      <c r="Q42" s="36"/>
      <c r="R42" s="36"/>
    </row>
    <row r="43" spans="1:21" s="7" customFormat="1" ht="12.75" hidden="1" customHeight="1" x14ac:dyDescent="0.2">
      <c r="A43" s="86" t="s">
        <v>38</v>
      </c>
      <c r="B43" s="111"/>
      <c r="C43" s="111"/>
      <c r="E43" s="112">
        <v>5</v>
      </c>
      <c r="F43" s="113" t="s">
        <v>12</v>
      </c>
      <c r="G43" s="112" t="s">
        <v>7</v>
      </c>
      <c r="H43" s="112" t="s">
        <v>10</v>
      </c>
      <c r="J43" s="36"/>
      <c r="K43" s="36"/>
      <c r="L43" s="36"/>
      <c r="M43" s="36"/>
      <c r="N43" s="36"/>
      <c r="O43" s="36"/>
      <c r="P43" s="36"/>
      <c r="Q43" s="36"/>
      <c r="R43" s="36"/>
    </row>
    <row r="44" spans="1:21" s="7" customFormat="1" ht="14.1" customHeight="1" x14ac:dyDescent="0.2">
      <c r="A44" s="86" t="s">
        <v>39</v>
      </c>
      <c r="B44" s="111"/>
      <c r="C44" s="111"/>
      <c r="E44" s="112">
        <v>5</v>
      </c>
      <c r="F44" s="113" t="s">
        <v>12</v>
      </c>
      <c r="G44" s="112" t="s">
        <v>12</v>
      </c>
      <c r="H44" s="112" t="s">
        <v>8</v>
      </c>
      <c r="J44" s="36">
        <v>44035</v>
      </c>
      <c r="K44" s="36"/>
      <c r="L44" s="36"/>
      <c r="M44" s="36"/>
      <c r="N44" s="36">
        <f t="shared" ref="N44:N107" si="1">P44-L44</f>
        <v>0</v>
      </c>
      <c r="O44" s="36"/>
      <c r="P44" s="36"/>
      <c r="Q44" s="36"/>
      <c r="R44" s="36"/>
    </row>
    <row r="45" spans="1:21" s="7" customFormat="1" ht="12.75" hidden="1" customHeight="1" x14ac:dyDescent="0.2">
      <c r="A45" s="86" t="s">
        <v>142</v>
      </c>
      <c r="B45" s="111"/>
      <c r="C45" s="111"/>
      <c r="D45" s="112"/>
      <c r="E45" s="112">
        <v>5</v>
      </c>
      <c r="F45" s="113" t="s">
        <v>12</v>
      </c>
      <c r="G45" s="112" t="s">
        <v>12</v>
      </c>
      <c r="H45" s="112" t="s">
        <v>10</v>
      </c>
      <c r="J45" s="36"/>
      <c r="K45" s="36"/>
      <c r="L45" s="36"/>
      <c r="M45" s="36"/>
      <c r="N45" s="36">
        <f t="shared" si="1"/>
        <v>0</v>
      </c>
      <c r="O45" s="36"/>
      <c r="P45" s="36"/>
      <c r="Q45" s="36"/>
      <c r="R45" s="36"/>
    </row>
    <row r="46" spans="1:21" s="7" customFormat="1" ht="14.1" customHeight="1" x14ac:dyDescent="0.2">
      <c r="A46" s="86" t="s">
        <v>40</v>
      </c>
      <c r="B46" s="111"/>
      <c r="C46" s="111"/>
      <c r="D46" s="112"/>
      <c r="E46" s="112">
        <v>5</v>
      </c>
      <c r="F46" s="113" t="s">
        <v>12</v>
      </c>
      <c r="G46" s="112" t="s">
        <v>29</v>
      </c>
      <c r="H46" s="112" t="s">
        <v>8</v>
      </c>
      <c r="J46" s="36">
        <v>0</v>
      </c>
      <c r="K46" s="36"/>
      <c r="L46" s="36"/>
      <c r="M46" s="36"/>
      <c r="N46" s="36">
        <f t="shared" si="1"/>
        <v>0</v>
      </c>
      <c r="O46" s="36"/>
      <c r="P46" s="36"/>
      <c r="Q46" s="36"/>
      <c r="R46" s="36"/>
    </row>
    <row r="47" spans="1:21" s="7" customFormat="1" ht="12.75" hidden="1" customHeight="1" x14ac:dyDescent="0.2">
      <c r="A47" s="86" t="s">
        <v>41</v>
      </c>
      <c r="B47" s="111"/>
      <c r="C47" s="111"/>
      <c r="D47" s="112"/>
      <c r="E47" s="112">
        <v>5</v>
      </c>
      <c r="F47" s="113" t="s">
        <v>12</v>
      </c>
      <c r="G47" s="112" t="s">
        <v>29</v>
      </c>
      <c r="H47" s="112" t="s">
        <v>10</v>
      </c>
      <c r="J47" s="36"/>
      <c r="K47" s="36"/>
      <c r="L47" s="36"/>
      <c r="M47" s="36"/>
      <c r="N47" s="36">
        <f t="shared" si="1"/>
        <v>0</v>
      </c>
      <c r="O47" s="36"/>
      <c r="P47" s="36"/>
      <c r="Q47" s="36"/>
      <c r="R47" s="36"/>
    </row>
    <row r="48" spans="1:21" s="7" customFormat="1" ht="12.75" hidden="1" customHeight="1" x14ac:dyDescent="0.2">
      <c r="A48" s="86" t="s">
        <v>42</v>
      </c>
      <c r="B48" s="111"/>
      <c r="C48" s="111"/>
      <c r="D48" s="112"/>
      <c r="E48" s="112">
        <v>5</v>
      </c>
      <c r="F48" s="113" t="s">
        <v>12</v>
      </c>
      <c r="G48" s="112" t="s">
        <v>29</v>
      </c>
      <c r="H48" s="112" t="s">
        <v>17</v>
      </c>
      <c r="J48" s="36"/>
      <c r="K48" s="36"/>
      <c r="L48" s="36"/>
      <c r="M48" s="36"/>
      <c r="N48" s="36">
        <f t="shared" si="1"/>
        <v>0</v>
      </c>
      <c r="O48" s="36"/>
      <c r="P48" s="36"/>
      <c r="Q48" s="36"/>
      <c r="R48" s="36"/>
    </row>
    <row r="49" spans="1:21" s="7" customFormat="1" ht="14.1" hidden="1" customHeight="1" x14ac:dyDescent="0.2">
      <c r="A49" s="86" t="s">
        <v>43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64</v>
      </c>
      <c r="J49" s="36"/>
      <c r="K49" s="36"/>
      <c r="L49" s="36"/>
      <c r="M49" s="36"/>
      <c r="N49" s="36">
        <f t="shared" si="1"/>
        <v>0</v>
      </c>
      <c r="O49" s="36"/>
      <c r="P49" s="36"/>
      <c r="Q49" s="36"/>
      <c r="R49" s="36"/>
    </row>
    <row r="50" spans="1:21" s="7" customFormat="1" ht="12.75" hidden="1" customHeight="1" x14ac:dyDescent="0.2">
      <c r="A50" s="86" t="s">
        <v>88</v>
      </c>
      <c r="B50" s="111"/>
      <c r="C50" s="111"/>
      <c r="E50" s="112">
        <v>5</v>
      </c>
      <c r="F50" s="113" t="s">
        <v>12</v>
      </c>
      <c r="G50" s="112" t="s">
        <v>29</v>
      </c>
      <c r="H50" s="112" t="s">
        <v>60</v>
      </c>
      <c r="J50" s="36"/>
      <c r="K50" s="36"/>
      <c r="L50" s="36"/>
      <c r="M50" s="36"/>
      <c r="N50" s="36">
        <f t="shared" si="1"/>
        <v>0</v>
      </c>
      <c r="O50" s="36"/>
      <c r="P50" s="36"/>
      <c r="Q50" s="36"/>
      <c r="R50" s="36"/>
    </row>
    <row r="51" spans="1:21" s="7" customFormat="1" ht="14.1" customHeight="1" x14ac:dyDescent="0.2">
      <c r="A51" s="86" t="s">
        <v>150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19</v>
      </c>
      <c r="J51" s="39">
        <v>7142437.5199999996</v>
      </c>
      <c r="K51" s="39"/>
      <c r="L51" s="36">
        <v>406880</v>
      </c>
      <c r="M51" s="36"/>
      <c r="N51" s="36">
        <f t="shared" si="1"/>
        <v>14593120</v>
      </c>
      <c r="O51" s="36"/>
      <c r="P51" s="36">
        <v>15000000</v>
      </c>
      <c r="Q51" s="36"/>
      <c r="R51" s="36">
        <v>5300000</v>
      </c>
      <c r="T51" s="7">
        <f>P51*0.2</f>
        <v>3000000</v>
      </c>
      <c r="U51" s="7">
        <f>P51+T51</f>
        <v>18000000</v>
      </c>
    </row>
    <row r="52" spans="1:21" s="7" customFormat="1" ht="14.1" customHeight="1" x14ac:dyDescent="0.2">
      <c r="A52" s="86" t="s">
        <v>151</v>
      </c>
      <c r="B52" s="111"/>
      <c r="C52" s="111"/>
      <c r="D52" s="112"/>
      <c r="E52" s="112">
        <v>5</v>
      </c>
      <c r="F52" s="113" t="s">
        <v>12</v>
      </c>
      <c r="G52" s="112" t="s">
        <v>29</v>
      </c>
      <c r="H52" s="112" t="s">
        <v>82</v>
      </c>
      <c r="J52" s="39">
        <v>3899121.3</v>
      </c>
      <c r="K52" s="39"/>
      <c r="L52" s="36"/>
      <c r="M52" s="36"/>
      <c r="N52" s="36">
        <f t="shared" si="1"/>
        <v>5500000</v>
      </c>
      <c r="O52" s="36"/>
      <c r="P52" s="36">
        <v>5500000</v>
      </c>
      <c r="Q52" s="36"/>
      <c r="R52" s="36">
        <v>980000</v>
      </c>
      <c r="T52" s="7">
        <f>P52*0.2</f>
        <v>1100000</v>
      </c>
      <c r="U52" s="7">
        <f>P52+T52</f>
        <v>6600000</v>
      </c>
    </row>
    <row r="53" spans="1:21" s="7" customFormat="1" ht="13.5" customHeight="1" x14ac:dyDescent="0.2">
      <c r="A53" s="86" t="s">
        <v>44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45</v>
      </c>
      <c r="J53" s="39">
        <v>375770.78</v>
      </c>
      <c r="K53" s="39"/>
      <c r="L53" s="36">
        <v>83853.02</v>
      </c>
      <c r="M53" s="36"/>
      <c r="N53" s="36">
        <f t="shared" si="1"/>
        <v>690146.98</v>
      </c>
      <c r="O53" s="36"/>
      <c r="P53" s="36">
        <v>774000</v>
      </c>
      <c r="Q53" s="36"/>
      <c r="R53" s="36">
        <v>515000</v>
      </c>
    </row>
    <row r="54" spans="1:21" s="7" customFormat="1" ht="12.75" hidden="1" customHeight="1" x14ac:dyDescent="0.2">
      <c r="A54" s="86" t="s">
        <v>152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102</v>
      </c>
      <c r="J54" s="36"/>
      <c r="K54" s="36"/>
      <c r="L54" s="36"/>
      <c r="M54" s="36"/>
      <c r="N54" s="36">
        <f t="shared" si="1"/>
        <v>0</v>
      </c>
      <c r="O54" s="36"/>
      <c r="P54" s="36"/>
      <c r="Q54" s="36"/>
      <c r="R54" s="36"/>
    </row>
    <row r="55" spans="1:21" s="7" customFormat="1" ht="12.75" hidden="1" customHeight="1" x14ac:dyDescent="0.2">
      <c r="A55" s="86" t="s">
        <v>153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146</v>
      </c>
      <c r="J55" s="36"/>
      <c r="K55" s="36"/>
      <c r="L55" s="36"/>
      <c r="M55" s="36"/>
      <c r="N55" s="36">
        <f t="shared" si="1"/>
        <v>0</v>
      </c>
      <c r="O55" s="36"/>
      <c r="P55" s="36"/>
      <c r="Q55" s="36"/>
      <c r="R55" s="36"/>
    </row>
    <row r="56" spans="1:21" s="7" customFormat="1" ht="12.75" hidden="1" customHeight="1" x14ac:dyDescent="0.2">
      <c r="A56" s="86" t="s">
        <v>46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47</v>
      </c>
      <c r="J56" s="36"/>
      <c r="K56" s="36"/>
      <c r="L56" s="36"/>
      <c r="M56" s="36"/>
      <c r="N56" s="36">
        <f t="shared" si="1"/>
        <v>0</v>
      </c>
      <c r="O56" s="36"/>
      <c r="P56" s="36"/>
      <c r="Q56" s="36"/>
      <c r="R56" s="36"/>
    </row>
    <row r="57" spans="1:21" s="7" customFormat="1" ht="12.75" hidden="1" customHeight="1" x14ac:dyDescent="0.2">
      <c r="A57" s="86" t="s">
        <v>154</v>
      </c>
      <c r="B57" s="111"/>
      <c r="C57" s="111"/>
      <c r="E57" s="112">
        <v>5</v>
      </c>
      <c r="F57" s="113" t="s">
        <v>12</v>
      </c>
      <c r="G57" s="112" t="s">
        <v>29</v>
      </c>
      <c r="H57" s="112" t="s">
        <v>15</v>
      </c>
      <c r="J57" s="36"/>
      <c r="K57" s="36"/>
      <c r="L57" s="36"/>
      <c r="M57" s="36"/>
      <c r="N57" s="36">
        <f t="shared" si="1"/>
        <v>0</v>
      </c>
      <c r="O57" s="36"/>
      <c r="P57" s="36"/>
      <c r="Q57" s="36"/>
      <c r="R57" s="36"/>
    </row>
    <row r="58" spans="1:21" s="7" customFormat="1" ht="12.75" hidden="1" customHeight="1" x14ac:dyDescent="0.2">
      <c r="A58" s="86" t="s">
        <v>51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24</v>
      </c>
      <c r="J58" s="36"/>
      <c r="K58" s="36"/>
      <c r="L58" s="36"/>
      <c r="M58" s="36"/>
      <c r="N58" s="36">
        <f t="shared" si="1"/>
        <v>0</v>
      </c>
      <c r="O58" s="36"/>
      <c r="P58" s="36"/>
      <c r="Q58" s="36"/>
      <c r="R58" s="36"/>
    </row>
    <row r="59" spans="1:21" s="7" customFormat="1" ht="14.1" customHeight="1" x14ac:dyDescent="0.2">
      <c r="A59" s="86" t="s">
        <v>48</v>
      </c>
      <c r="B59" s="111"/>
      <c r="C59" s="111"/>
      <c r="E59" s="112">
        <v>5</v>
      </c>
      <c r="F59" s="113" t="s">
        <v>12</v>
      </c>
      <c r="G59" s="112" t="s">
        <v>29</v>
      </c>
      <c r="H59" s="114" t="s">
        <v>49</v>
      </c>
      <c r="J59" s="36"/>
      <c r="K59" s="36"/>
      <c r="L59" s="36"/>
      <c r="M59" s="36"/>
      <c r="N59" s="36">
        <f t="shared" si="1"/>
        <v>1000000</v>
      </c>
      <c r="O59" s="36"/>
      <c r="P59" s="36">
        <v>1000000</v>
      </c>
      <c r="Q59" s="36"/>
      <c r="R59" s="36">
        <v>1000000</v>
      </c>
    </row>
    <row r="60" spans="1:21" s="7" customFormat="1" ht="14.1" customHeight="1" x14ac:dyDescent="0.2">
      <c r="A60" s="86" t="s">
        <v>50</v>
      </c>
      <c r="B60" s="111"/>
      <c r="C60" s="111"/>
      <c r="D60" s="112"/>
      <c r="E60" s="112">
        <v>5</v>
      </c>
      <c r="F60" s="113" t="s">
        <v>12</v>
      </c>
      <c r="G60" s="112" t="s">
        <v>34</v>
      </c>
      <c r="H60" s="112" t="s">
        <v>8</v>
      </c>
      <c r="J60" s="36">
        <v>21737.75</v>
      </c>
      <c r="K60" s="36"/>
      <c r="L60" s="36">
        <v>4204.1400000000003</v>
      </c>
      <c r="M60" s="36"/>
      <c r="N60" s="36">
        <f t="shared" si="1"/>
        <v>55795.86</v>
      </c>
      <c r="O60" s="36"/>
      <c r="P60" s="36">
        <v>60000</v>
      </c>
      <c r="Q60" s="36"/>
      <c r="R60" s="36">
        <v>60537.01</v>
      </c>
    </row>
    <row r="61" spans="1:21" s="7" customFormat="1" ht="14.1" customHeight="1" x14ac:dyDescent="0.2">
      <c r="A61" s="86" t="s">
        <v>52</v>
      </c>
      <c r="B61" s="111"/>
      <c r="C61" s="111"/>
      <c r="D61" s="112"/>
      <c r="E61" s="112">
        <v>5</v>
      </c>
      <c r="F61" s="113" t="s">
        <v>12</v>
      </c>
      <c r="G61" s="112" t="s">
        <v>34</v>
      </c>
      <c r="H61" s="112" t="s">
        <v>10</v>
      </c>
      <c r="J61" s="36">
        <v>159604.93</v>
      </c>
      <c r="K61" s="36"/>
      <c r="L61" s="36">
        <v>50172.24</v>
      </c>
      <c r="M61" s="36"/>
      <c r="N61" s="36">
        <f t="shared" si="1"/>
        <v>165827.76</v>
      </c>
      <c r="O61" s="36"/>
      <c r="P61" s="36">
        <v>216000</v>
      </c>
      <c r="Q61" s="36"/>
      <c r="R61" s="36">
        <v>216000</v>
      </c>
    </row>
    <row r="62" spans="1:21" s="7" customFormat="1" ht="12.75" hidden="1" customHeight="1" x14ac:dyDescent="0.2">
      <c r="A62" s="86" t="s">
        <v>53</v>
      </c>
      <c r="B62" s="111"/>
      <c r="C62" s="111"/>
      <c r="E62" s="112">
        <v>5</v>
      </c>
      <c r="F62" s="113" t="s">
        <v>12</v>
      </c>
      <c r="G62" s="112" t="s">
        <v>54</v>
      </c>
      <c r="H62" s="112" t="s">
        <v>8</v>
      </c>
      <c r="J62" s="36"/>
      <c r="K62" s="36"/>
      <c r="L62" s="36"/>
      <c r="M62" s="36"/>
      <c r="N62" s="36">
        <f t="shared" si="1"/>
        <v>0</v>
      </c>
      <c r="O62" s="36"/>
      <c r="P62" s="36"/>
      <c r="Q62" s="36"/>
      <c r="R62" s="36"/>
    </row>
    <row r="63" spans="1:21" s="7" customFormat="1" ht="14.1" customHeight="1" x14ac:dyDescent="0.2">
      <c r="A63" s="86" t="s">
        <v>55</v>
      </c>
      <c r="B63" s="111"/>
      <c r="C63" s="111"/>
      <c r="E63" s="112">
        <v>5</v>
      </c>
      <c r="F63" s="113" t="s">
        <v>12</v>
      </c>
      <c r="G63" s="112" t="s">
        <v>54</v>
      </c>
      <c r="H63" s="112" t="s">
        <v>10</v>
      </c>
      <c r="J63" s="36">
        <v>16921.8</v>
      </c>
      <c r="K63" s="36"/>
      <c r="L63" s="36">
        <v>7050.75</v>
      </c>
      <c r="M63" s="36"/>
      <c r="N63" s="36">
        <f t="shared" si="1"/>
        <v>12949.25</v>
      </c>
      <c r="O63" s="36"/>
      <c r="P63" s="36">
        <v>20000</v>
      </c>
      <c r="Q63" s="36"/>
      <c r="R63" s="36">
        <v>18000</v>
      </c>
    </row>
    <row r="64" spans="1:21" s="7" customFormat="1" ht="14.1" hidden="1" customHeight="1" x14ac:dyDescent="0.2">
      <c r="A64" s="86" t="s">
        <v>56</v>
      </c>
      <c r="B64" s="111"/>
      <c r="C64" s="111"/>
      <c r="E64" s="112">
        <v>5</v>
      </c>
      <c r="F64" s="113" t="s">
        <v>12</v>
      </c>
      <c r="G64" s="112" t="s">
        <v>54</v>
      </c>
      <c r="H64" s="112" t="s">
        <v>15</v>
      </c>
      <c r="J64" s="36"/>
      <c r="K64" s="36"/>
      <c r="L64" s="36"/>
      <c r="M64" s="36"/>
      <c r="N64" s="36">
        <f t="shared" si="1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57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17</v>
      </c>
      <c r="J65" s="36"/>
      <c r="K65" s="36"/>
      <c r="L65" s="36"/>
      <c r="M65" s="36"/>
      <c r="N65" s="36">
        <f t="shared" si="1"/>
        <v>0</v>
      </c>
      <c r="O65" s="36"/>
      <c r="P65" s="36"/>
      <c r="Q65" s="36"/>
      <c r="R65" s="36"/>
    </row>
    <row r="66" spans="1:18" s="7" customFormat="1" ht="14.1" hidden="1" customHeight="1" x14ac:dyDescent="0.2">
      <c r="A66" s="86" t="s">
        <v>275</v>
      </c>
      <c r="B66" s="111"/>
      <c r="C66" s="111"/>
      <c r="E66" s="112">
        <v>5</v>
      </c>
      <c r="F66" s="112" t="s">
        <v>12</v>
      </c>
      <c r="G66" s="114" t="s">
        <v>259</v>
      </c>
      <c r="H66" s="114" t="s">
        <v>10</v>
      </c>
      <c r="J66" s="36"/>
      <c r="K66" s="36"/>
      <c r="L66" s="36"/>
      <c r="M66" s="36"/>
      <c r="N66" s="36">
        <f t="shared" si="1"/>
        <v>0</v>
      </c>
      <c r="O66" s="36"/>
      <c r="P66" s="36"/>
      <c r="Q66" s="36"/>
      <c r="R66" s="36"/>
    </row>
    <row r="67" spans="1:18" s="7" customFormat="1" ht="14.1" hidden="1" customHeight="1" x14ac:dyDescent="0.2">
      <c r="A67" s="86" t="s">
        <v>58</v>
      </c>
      <c r="B67" s="111"/>
      <c r="C67" s="111"/>
      <c r="E67" s="112">
        <v>5</v>
      </c>
      <c r="F67" s="112" t="s">
        <v>12</v>
      </c>
      <c r="G67" s="112" t="s">
        <v>59</v>
      </c>
      <c r="H67" s="112" t="s">
        <v>60</v>
      </c>
      <c r="J67" s="36"/>
      <c r="K67" s="36"/>
      <c r="L67" s="36"/>
      <c r="M67" s="36"/>
      <c r="N67" s="36">
        <f t="shared" si="1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66</v>
      </c>
      <c r="B68" s="111"/>
      <c r="C68" s="111"/>
      <c r="E68" s="112">
        <v>5</v>
      </c>
      <c r="F68" s="113" t="s">
        <v>12</v>
      </c>
      <c r="G68" s="112" t="s">
        <v>67</v>
      </c>
      <c r="H68" s="112" t="s">
        <v>8</v>
      </c>
      <c r="J68" s="36"/>
      <c r="K68" s="36"/>
      <c r="L68" s="36"/>
      <c r="M68" s="36"/>
      <c r="N68" s="36">
        <f t="shared" si="1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61</v>
      </c>
      <c r="B69" s="111"/>
      <c r="C69" s="111"/>
      <c r="E69" s="112">
        <v>5</v>
      </c>
      <c r="F69" s="113" t="s">
        <v>12</v>
      </c>
      <c r="G69" s="112" t="s">
        <v>59</v>
      </c>
      <c r="H69" s="112" t="s">
        <v>8</v>
      </c>
      <c r="J69" s="36"/>
      <c r="K69" s="36"/>
      <c r="L69" s="36"/>
      <c r="M69" s="36"/>
      <c r="N69" s="36">
        <f t="shared" si="1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62</v>
      </c>
      <c r="B70" s="111"/>
      <c r="C70" s="111"/>
      <c r="E70" s="112">
        <v>5</v>
      </c>
      <c r="F70" s="113" t="s">
        <v>12</v>
      </c>
      <c r="G70" s="112" t="s">
        <v>59</v>
      </c>
      <c r="H70" s="112" t="s">
        <v>10</v>
      </c>
      <c r="J70" s="36"/>
      <c r="K70" s="36"/>
      <c r="L70" s="36"/>
      <c r="M70" s="36"/>
      <c r="N70" s="36">
        <f t="shared" si="1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63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64</v>
      </c>
      <c r="J71" s="36"/>
      <c r="K71" s="36"/>
      <c r="L71" s="36"/>
      <c r="M71" s="36"/>
      <c r="N71" s="36">
        <f t="shared" si="1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155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15</v>
      </c>
      <c r="J72" s="36"/>
      <c r="K72" s="36"/>
      <c r="L72" s="36"/>
      <c r="M72" s="36"/>
      <c r="N72" s="36">
        <f t="shared" si="1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156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17</v>
      </c>
      <c r="J73" s="36"/>
      <c r="K73" s="36"/>
      <c r="L73" s="36"/>
      <c r="M73" s="36"/>
      <c r="N73" s="36">
        <f t="shared" si="1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1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65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19</v>
      </c>
      <c r="J75" s="36"/>
      <c r="K75" s="36"/>
      <c r="L75" s="36"/>
      <c r="M75" s="36"/>
      <c r="N75" s="36">
        <f t="shared" si="1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157</v>
      </c>
      <c r="B76" s="111"/>
      <c r="C76" s="111"/>
      <c r="E76" s="112">
        <v>5</v>
      </c>
      <c r="F76" s="113" t="s">
        <v>12</v>
      </c>
      <c r="G76" s="112" t="s">
        <v>93</v>
      </c>
      <c r="H76" s="112" t="s">
        <v>8</v>
      </c>
      <c r="J76" s="36"/>
      <c r="K76" s="36"/>
      <c r="L76" s="36"/>
      <c r="M76" s="36"/>
      <c r="N76" s="36">
        <f t="shared" si="1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66</v>
      </c>
      <c r="B77" s="111"/>
      <c r="C77" s="111"/>
      <c r="E77" s="112">
        <v>5</v>
      </c>
      <c r="F77" s="113" t="s">
        <v>12</v>
      </c>
      <c r="G77" s="112" t="s">
        <v>67</v>
      </c>
      <c r="H77" s="112" t="s">
        <v>8</v>
      </c>
      <c r="J77" s="36"/>
      <c r="K77" s="36"/>
      <c r="L77" s="36"/>
      <c r="M77" s="36"/>
      <c r="N77" s="36">
        <f t="shared" si="1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68</v>
      </c>
      <c r="B78" s="111"/>
      <c r="C78" s="111"/>
      <c r="E78" s="112">
        <v>5</v>
      </c>
      <c r="F78" s="113" t="s">
        <v>12</v>
      </c>
      <c r="G78" s="112" t="s">
        <v>67</v>
      </c>
      <c r="H78" s="112" t="s">
        <v>10</v>
      </c>
      <c r="J78" s="36"/>
      <c r="K78" s="36"/>
      <c r="L78" s="36"/>
      <c r="M78" s="36"/>
      <c r="N78" s="36">
        <f t="shared" si="1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158</v>
      </c>
      <c r="B79" s="111"/>
      <c r="C79" s="111"/>
      <c r="E79" s="112">
        <v>5</v>
      </c>
      <c r="F79" s="113" t="s">
        <v>12</v>
      </c>
      <c r="G79" s="112" t="s">
        <v>70</v>
      </c>
      <c r="H79" s="112" t="s">
        <v>8</v>
      </c>
      <c r="J79" s="36"/>
      <c r="K79" s="36"/>
      <c r="L79" s="36"/>
      <c r="M79" s="36"/>
      <c r="N79" s="36">
        <f t="shared" si="1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159</v>
      </c>
      <c r="B80" s="111"/>
      <c r="C80" s="111"/>
      <c r="E80" s="112">
        <v>5</v>
      </c>
      <c r="F80" s="113" t="s">
        <v>12</v>
      </c>
      <c r="G80" s="112" t="s">
        <v>70</v>
      </c>
      <c r="H80" s="112" t="s">
        <v>10</v>
      </c>
      <c r="J80" s="36"/>
      <c r="K80" s="36"/>
      <c r="L80" s="36"/>
      <c r="M80" s="36"/>
      <c r="N80" s="36">
        <f t="shared" si="1"/>
        <v>0</v>
      </c>
      <c r="O80" s="36"/>
      <c r="P80" s="36"/>
      <c r="Q80" s="36"/>
      <c r="R80" s="36"/>
    </row>
    <row r="81" spans="1:18" s="7" customFormat="1" ht="14.1" hidden="1" customHeight="1" x14ac:dyDescent="0.2">
      <c r="A81" s="86" t="s">
        <v>69</v>
      </c>
      <c r="B81" s="111"/>
      <c r="C81" s="111"/>
      <c r="E81" s="112">
        <v>5</v>
      </c>
      <c r="F81" s="113" t="s">
        <v>12</v>
      </c>
      <c r="G81" s="112" t="s">
        <v>70</v>
      </c>
      <c r="H81" s="112" t="s">
        <v>15</v>
      </c>
      <c r="J81" s="36"/>
      <c r="K81" s="36"/>
      <c r="L81" s="36"/>
      <c r="M81" s="36"/>
      <c r="N81" s="36">
        <f t="shared" si="1"/>
        <v>0</v>
      </c>
      <c r="O81" s="36"/>
      <c r="P81" s="36"/>
      <c r="Q81" s="36"/>
      <c r="R81" s="36"/>
    </row>
    <row r="82" spans="1:18" s="7" customFormat="1" ht="14.1" hidden="1" customHeight="1" x14ac:dyDescent="0.2">
      <c r="A82" s="86" t="s">
        <v>160</v>
      </c>
      <c r="B82" s="111"/>
      <c r="C82" s="111"/>
      <c r="E82" s="112">
        <v>5</v>
      </c>
      <c r="F82" s="113" t="s">
        <v>12</v>
      </c>
      <c r="G82" s="112" t="s">
        <v>163</v>
      </c>
      <c r="H82" s="112" t="s">
        <v>8</v>
      </c>
      <c r="J82" s="36"/>
      <c r="K82" s="36"/>
      <c r="L82" s="36"/>
      <c r="M82" s="36"/>
      <c r="N82" s="36">
        <f t="shared" si="1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161</v>
      </c>
      <c r="B83" s="111"/>
      <c r="C83" s="111"/>
      <c r="E83" s="112">
        <v>5</v>
      </c>
      <c r="F83" s="113" t="s">
        <v>12</v>
      </c>
      <c r="G83" s="112" t="s">
        <v>163</v>
      </c>
      <c r="H83" s="114" t="s">
        <v>49</v>
      </c>
      <c r="J83" s="36"/>
      <c r="K83" s="36"/>
      <c r="L83" s="36"/>
      <c r="M83" s="36"/>
      <c r="N83" s="36">
        <f t="shared" si="1"/>
        <v>0</v>
      </c>
      <c r="O83" s="36"/>
      <c r="P83" s="36"/>
      <c r="Q83" s="36"/>
      <c r="R83" s="36"/>
    </row>
    <row r="84" spans="1:18" s="7" customFormat="1" ht="14.1" hidden="1" customHeight="1" x14ac:dyDescent="0.2">
      <c r="A84" s="86" t="s">
        <v>71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10</v>
      </c>
      <c r="J84" s="36"/>
      <c r="K84" s="36"/>
      <c r="L84" s="36"/>
      <c r="M84" s="36"/>
      <c r="N84" s="36">
        <f t="shared" si="1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162</v>
      </c>
      <c r="B85" s="111"/>
      <c r="C85" s="111"/>
      <c r="E85" s="112">
        <v>5</v>
      </c>
      <c r="F85" s="113" t="s">
        <v>12</v>
      </c>
      <c r="G85" s="112" t="s">
        <v>163</v>
      </c>
      <c r="H85" s="112" t="s">
        <v>15</v>
      </c>
      <c r="J85" s="36"/>
      <c r="K85" s="36"/>
      <c r="L85" s="36"/>
      <c r="M85" s="36"/>
      <c r="N85" s="36">
        <f t="shared" si="1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72</v>
      </c>
      <c r="B86" s="111"/>
      <c r="C86" s="111"/>
      <c r="E86" s="112">
        <v>5</v>
      </c>
      <c r="F86" s="113" t="s">
        <v>12</v>
      </c>
      <c r="G86" s="112" t="s">
        <v>70</v>
      </c>
      <c r="H86" s="112" t="s">
        <v>49</v>
      </c>
      <c r="J86" s="36"/>
      <c r="K86" s="36"/>
      <c r="L86" s="36"/>
      <c r="M86" s="36"/>
      <c r="N86" s="36">
        <f t="shared" si="1"/>
        <v>0</v>
      </c>
      <c r="O86" s="36"/>
      <c r="P86" s="36"/>
      <c r="Q86" s="36"/>
      <c r="R86" s="36"/>
    </row>
    <row r="87" spans="1:18" s="7" customFormat="1" ht="14.1" hidden="1" customHeight="1" x14ac:dyDescent="0.2">
      <c r="A87" s="86" t="s">
        <v>161</v>
      </c>
      <c r="B87" s="111"/>
      <c r="C87" s="111"/>
      <c r="E87" s="112">
        <v>5</v>
      </c>
      <c r="F87" s="113" t="s">
        <v>12</v>
      </c>
      <c r="G87" s="114" t="s">
        <v>163</v>
      </c>
      <c r="H87" s="112" t="s">
        <v>49</v>
      </c>
      <c r="J87" s="36"/>
      <c r="K87" s="36"/>
      <c r="L87" s="36"/>
      <c r="M87" s="36"/>
      <c r="N87" s="36">
        <f t="shared" si="1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164</v>
      </c>
      <c r="B88" s="111"/>
      <c r="C88" s="111"/>
      <c r="E88" s="112">
        <v>5</v>
      </c>
      <c r="F88" s="113" t="s">
        <v>12</v>
      </c>
      <c r="G88" s="112" t="s">
        <v>74</v>
      </c>
      <c r="H88" s="112" t="s">
        <v>10</v>
      </c>
      <c r="J88" s="36"/>
      <c r="K88" s="36"/>
      <c r="L88" s="36"/>
      <c r="M88" s="36"/>
      <c r="N88" s="36">
        <f t="shared" si="1"/>
        <v>0</v>
      </c>
      <c r="O88" s="36"/>
      <c r="P88" s="36"/>
      <c r="Q88" s="36"/>
      <c r="R88" s="36"/>
    </row>
    <row r="89" spans="1:18" s="7" customFormat="1" ht="14.1" hidden="1" customHeight="1" x14ac:dyDescent="0.2">
      <c r="A89" s="86" t="s">
        <v>165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15</v>
      </c>
      <c r="J89" s="36"/>
      <c r="K89" s="36"/>
      <c r="L89" s="36"/>
      <c r="M89" s="36"/>
      <c r="N89" s="36">
        <f t="shared" si="1"/>
        <v>0</v>
      </c>
      <c r="O89" s="36"/>
      <c r="P89" s="36"/>
      <c r="Q89" s="36"/>
      <c r="R89" s="36"/>
    </row>
    <row r="90" spans="1:18" s="7" customFormat="1" ht="14.1" customHeight="1" x14ac:dyDescent="0.2">
      <c r="A90" s="86" t="s">
        <v>166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17</v>
      </c>
      <c r="J90" s="36">
        <v>0</v>
      </c>
      <c r="K90" s="36"/>
      <c r="L90" s="36"/>
      <c r="M90" s="36"/>
      <c r="N90" s="36">
        <f t="shared" si="1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167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8</v>
      </c>
      <c r="J91" s="36"/>
      <c r="K91" s="36"/>
      <c r="L91" s="36"/>
      <c r="M91" s="36"/>
      <c r="N91" s="36">
        <f t="shared" si="1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168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45</v>
      </c>
      <c r="J92" s="36"/>
      <c r="K92" s="36"/>
      <c r="L92" s="36"/>
      <c r="M92" s="36"/>
      <c r="N92" s="36">
        <f t="shared" si="1"/>
        <v>0</v>
      </c>
      <c r="O92" s="36"/>
      <c r="P92" s="36"/>
      <c r="Q92" s="36"/>
      <c r="R92" s="36"/>
    </row>
    <row r="93" spans="1:18" s="7" customFormat="1" ht="14.1" hidden="1" customHeight="1" x14ac:dyDescent="0.2">
      <c r="A93" s="86" t="s">
        <v>73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64</v>
      </c>
      <c r="J93" s="36"/>
      <c r="K93" s="36"/>
      <c r="L93" s="36"/>
      <c r="M93" s="36"/>
      <c r="N93" s="36">
        <f t="shared" si="1"/>
        <v>0</v>
      </c>
      <c r="O93" s="36"/>
      <c r="P93" s="36"/>
      <c r="Q93" s="36"/>
      <c r="R93" s="36"/>
    </row>
    <row r="94" spans="1:18" s="7" customFormat="1" ht="14.1" hidden="1" customHeight="1" x14ac:dyDescent="0.2">
      <c r="A94" s="86" t="s">
        <v>75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19</v>
      </c>
      <c r="J94" s="36"/>
      <c r="K94" s="36"/>
      <c r="L94" s="36"/>
      <c r="M94" s="36"/>
      <c r="N94" s="36">
        <f t="shared" si="1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76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60</v>
      </c>
      <c r="J95" s="36"/>
      <c r="K95" s="36"/>
      <c r="L95" s="36"/>
      <c r="M95" s="36"/>
      <c r="N95" s="36">
        <f t="shared" si="1"/>
        <v>0</v>
      </c>
      <c r="O95" s="36"/>
      <c r="P95" s="36"/>
      <c r="Q95" s="36"/>
      <c r="R95" s="36"/>
    </row>
    <row r="96" spans="1:18" s="7" customFormat="1" ht="14.1" hidden="1" customHeight="1" x14ac:dyDescent="0.2">
      <c r="A96" s="86" t="s">
        <v>77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49</v>
      </c>
      <c r="J96" s="36"/>
      <c r="K96" s="36"/>
      <c r="L96" s="36"/>
      <c r="M96" s="36"/>
      <c r="N96" s="36">
        <f t="shared" si="1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165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15</v>
      </c>
      <c r="J97" s="36"/>
      <c r="K97" s="36"/>
      <c r="L97" s="36"/>
      <c r="M97" s="36"/>
      <c r="N97" s="36">
        <f t="shared" si="1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78</v>
      </c>
      <c r="B98" s="111"/>
      <c r="C98" s="111"/>
      <c r="E98" s="112">
        <v>5</v>
      </c>
      <c r="F98" s="113" t="s">
        <v>12</v>
      </c>
      <c r="G98" s="112" t="s">
        <v>79</v>
      </c>
      <c r="H98" s="112" t="s">
        <v>10</v>
      </c>
      <c r="J98" s="36"/>
      <c r="K98" s="36"/>
      <c r="L98" s="36"/>
      <c r="M98" s="36"/>
      <c r="N98" s="36">
        <f t="shared" si="1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80</v>
      </c>
      <c r="B99" s="111"/>
      <c r="C99" s="111"/>
      <c r="E99" s="112">
        <v>5</v>
      </c>
      <c r="F99" s="113" t="s">
        <v>12</v>
      </c>
      <c r="G99" s="112" t="s">
        <v>79</v>
      </c>
      <c r="H99" s="112" t="s">
        <v>15</v>
      </c>
      <c r="J99" s="36"/>
      <c r="K99" s="36"/>
      <c r="L99" s="36"/>
      <c r="M99" s="36"/>
      <c r="N99" s="36">
        <f t="shared" si="1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169</v>
      </c>
      <c r="B100" s="111"/>
      <c r="C100" s="111"/>
      <c r="E100" s="112">
        <v>5</v>
      </c>
      <c r="F100" s="113" t="s">
        <v>12</v>
      </c>
      <c r="G100" s="112" t="s">
        <v>79</v>
      </c>
      <c r="H100" s="113" t="s">
        <v>60</v>
      </c>
      <c r="J100" s="36"/>
      <c r="K100" s="36"/>
      <c r="L100" s="36"/>
      <c r="M100" s="36"/>
      <c r="N100" s="36">
        <f t="shared" si="1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170</v>
      </c>
      <c r="B101" s="111"/>
      <c r="C101" s="111"/>
      <c r="E101" s="112">
        <v>5</v>
      </c>
      <c r="F101" s="113" t="s">
        <v>12</v>
      </c>
      <c r="G101" s="112" t="s">
        <v>79</v>
      </c>
      <c r="H101" s="113" t="s">
        <v>19</v>
      </c>
      <c r="J101" s="36"/>
      <c r="K101" s="36"/>
      <c r="L101" s="36"/>
      <c r="M101" s="36"/>
      <c r="N101" s="36">
        <f t="shared" si="1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171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82</v>
      </c>
      <c r="J102" s="36"/>
      <c r="K102" s="36"/>
      <c r="L102" s="36"/>
      <c r="M102" s="36"/>
      <c r="N102" s="36">
        <f t="shared" si="1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81</v>
      </c>
      <c r="B103" s="111"/>
      <c r="C103" s="111"/>
      <c r="E103" s="112">
        <v>5</v>
      </c>
      <c r="F103" s="113" t="s">
        <v>12</v>
      </c>
      <c r="G103" s="112" t="s">
        <v>59</v>
      </c>
      <c r="H103" s="113" t="s">
        <v>82</v>
      </c>
      <c r="J103" s="36"/>
      <c r="K103" s="36"/>
      <c r="L103" s="36"/>
      <c r="M103" s="36"/>
      <c r="N103" s="36">
        <f t="shared" si="1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83</v>
      </c>
      <c r="B104" s="111"/>
      <c r="C104" s="111"/>
      <c r="E104" s="112">
        <v>5</v>
      </c>
      <c r="F104" s="113" t="s">
        <v>12</v>
      </c>
      <c r="G104" s="112" t="s">
        <v>84</v>
      </c>
      <c r="H104" s="113" t="s">
        <v>8</v>
      </c>
      <c r="J104" s="36"/>
      <c r="K104" s="36"/>
      <c r="L104" s="36"/>
      <c r="M104" s="36"/>
      <c r="N104" s="36">
        <f t="shared" si="1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85</v>
      </c>
      <c r="B105" s="111"/>
      <c r="C105" s="111"/>
      <c r="E105" s="112">
        <v>5</v>
      </c>
      <c r="F105" s="113" t="s">
        <v>12</v>
      </c>
      <c r="G105" s="112" t="s">
        <v>84</v>
      </c>
      <c r="H105" s="113" t="s">
        <v>10</v>
      </c>
      <c r="J105" s="36"/>
      <c r="K105" s="36"/>
      <c r="L105" s="36"/>
      <c r="M105" s="36"/>
      <c r="N105" s="36">
        <f t="shared" si="1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86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15</v>
      </c>
      <c r="J106" s="36"/>
      <c r="K106" s="36"/>
      <c r="L106" s="36"/>
      <c r="M106" s="36"/>
      <c r="N106" s="36">
        <f t="shared" si="1"/>
        <v>0</v>
      </c>
      <c r="O106" s="36"/>
      <c r="P106" s="36"/>
      <c r="Q106" s="36"/>
      <c r="R106" s="36"/>
    </row>
    <row r="107" spans="1:18" s="7" customFormat="1" ht="14.1" hidden="1" customHeight="1" x14ac:dyDescent="0.2">
      <c r="A107" s="86" t="s">
        <v>172</v>
      </c>
      <c r="B107" s="111"/>
      <c r="C107" s="111"/>
      <c r="E107" s="112">
        <v>5</v>
      </c>
      <c r="F107" s="113" t="s">
        <v>12</v>
      </c>
      <c r="G107" s="112" t="s">
        <v>174</v>
      </c>
      <c r="H107" s="113" t="s">
        <v>8</v>
      </c>
      <c r="J107" s="36"/>
      <c r="K107" s="36"/>
      <c r="L107" s="36"/>
      <c r="M107" s="36"/>
      <c r="N107" s="36">
        <f t="shared" si="1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173</v>
      </c>
      <c r="B108" s="111"/>
      <c r="C108" s="111"/>
      <c r="E108" s="112">
        <v>5</v>
      </c>
      <c r="F108" s="113" t="s">
        <v>12</v>
      </c>
      <c r="G108" s="112" t="s">
        <v>174</v>
      </c>
      <c r="H108" s="113" t="s">
        <v>10</v>
      </c>
      <c r="J108" s="36"/>
      <c r="K108" s="36"/>
      <c r="L108" s="36"/>
      <c r="M108" s="36"/>
      <c r="N108" s="36">
        <f t="shared" ref="N108:N110" si="2">P108-L108</f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87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15</v>
      </c>
      <c r="J109" s="36"/>
      <c r="K109" s="36"/>
      <c r="L109" s="36"/>
      <c r="M109" s="36"/>
      <c r="N109" s="36">
        <f t="shared" si="2"/>
        <v>0</v>
      </c>
      <c r="O109" s="36"/>
      <c r="P109" s="36"/>
      <c r="Q109" s="36"/>
      <c r="R109" s="36"/>
    </row>
    <row r="110" spans="1:18" s="7" customFormat="1" ht="14.1" customHeight="1" x14ac:dyDescent="0.2">
      <c r="A110" s="86" t="s">
        <v>260</v>
      </c>
      <c r="B110" s="111"/>
      <c r="C110" s="111"/>
      <c r="E110" s="112">
        <v>5</v>
      </c>
      <c r="F110" s="113" t="s">
        <v>12</v>
      </c>
      <c r="G110" s="134">
        <v>99</v>
      </c>
      <c r="H110" s="135">
        <v>990</v>
      </c>
      <c r="J110" s="36">
        <v>0</v>
      </c>
      <c r="K110" s="36"/>
      <c r="L110" s="36"/>
      <c r="M110" s="36"/>
      <c r="N110" s="36">
        <f t="shared" si="2"/>
        <v>500000</v>
      </c>
      <c r="O110" s="36"/>
      <c r="P110" s="36">
        <v>500000</v>
      </c>
      <c r="Q110" s="36"/>
      <c r="R110" s="36">
        <v>100000</v>
      </c>
    </row>
    <row r="111" spans="1:18" s="7" customFormat="1" ht="18.95" customHeight="1" x14ac:dyDescent="0.2">
      <c r="A111" s="323" t="s">
        <v>191</v>
      </c>
      <c r="B111" s="323"/>
      <c r="C111" s="323"/>
      <c r="J111" s="161">
        <f>SUM(J42:J110)</f>
        <v>11659629.08</v>
      </c>
      <c r="K111" s="162"/>
      <c r="L111" s="161">
        <f>SUM(L42:L110)</f>
        <v>552160.15</v>
      </c>
      <c r="M111" s="36"/>
      <c r="N111" s="161">
        <f>SUM(N42:N110)</f>
        <v>22634639.850000001</v>
      </c>
      <c r="O111" s="36"/>
      <c r="P111" s="161">
        <f>SUM(P42:P110)</f>
        <v>23186800</v>
      </c>
      <c r="Q111" s="36"/>
      <c r="R111" s="161">
        <f>SUM(R42:R110)</f>
        <v>8189537.0099999998</v>
      </c>
    </row>
    <row r="112" spans="1:18" s="7" customFormat="1" ht="6" hidden="1" customHeight="1" x14ac:dyDescent="0.2">
      <c r="A112" s="20"/>
      <c r="B112" s="20"/>
      <c r="C112" s="20"/>
      <c r="J112" s="162"/>
      <c r="K112" s="162"/>
      <c r="L112" s="36"/>
      <c r="M112" s="36"/>
      <c r="N112" s="36"/>
      <c r="O112" s="36"/>
      <c r="P112" s="36"/>
      <c r="Q112" s="36"/>
      <c r="R112" s="36"/>
    </row>
    <row r="113" spans="1:18" s="7" customFormat="1" ht="12" hidden="1" customHeight="1" x14ac:dyDescent="0.2">
      <c r="A113" s="69" t="s">
        <v>189</v>
      </c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 s="7" customFormat="1" ht="12" hidden="1" customHeight="1" x14ac:dyDescent="0.2">
      <c r="A114" s="86" t="s">
        <v>109</v>
      </c>
      <c r="E114" s="112">
        <v>5</v>
      </c>
      <c r="F114" s="113" t="s">
        <v>29</v>
      </c>
      <c r="G114" s="112" t="s">
        <v>7</v>
      </c>
      <c r="H114" s="112" t="s">
        <v>17</v>
      </c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86" t="s">
        <v>180</v>
      </c>
      <c r="E115" s="112">
        <v>5</v>
      </c>
      <c r="F115" s="113" t="s">
        <v>29</v>
      </c>
      <c r="G115" s="112" t="s">
        <v>7</v>
      </c>
      <c r="H115" s="112" t="s">
        <v>64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181</v>
      </c>
      <c r="E116" s="112">
        <v>5</v>
      </c>
      <c r="F116" s="113" t="s">
        <v>29</v>
      </c>
      <c r="G116" s="112" t="s">
        <v>7</v>
      </c>
      <c r="H116" s="114" t="s">
        <v>49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181</v>
      </c>
      <c r="E117" s="112">
        <v>5</v>
      </c>
      <c r="F117" s="113" t="s">
        <v>29</v>
      </c>
      <c r="G117" s="112" t="s">
        <v>7</v>
      </c>
      <c r="H117" s="114" t="s">
        <v>49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182</v>
      </c>
      <c r="E118" s="112">
        <v>5</v>
      </c>
      <c r="F118" s="113" t="s">
        <v>29</v>
      </c>
      <c r="G118" s="112" t="s">
        <v>7</v>
      </c>
      <c r="H118" s="112" t="s">
        <v>10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183</v>
      </c>
      <c r="E120" s="112">
        <v>5</v>
      </c>
      <c r="F120" s="113" t="s">
        <v>29</v>
      </c>
      <c r="G120" s="112" t="s">
        <v>7</v>
      </c>
      <c r="H120" s="112" t="s">
        <v>8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184</v>
      </c>
      <c r="E121" s="112">
        <v>5</v>
      </c>
      <c r="F121" s="113" t="s">
        <v>29</v>
      </c>
      <c r="G121" s="112" t="s">
        <v>7</v>
      </c>
      <c r="H121" s="112" t="s">
        <v>15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8.95" hidden="1" customHeight="1" x14ac:dyDescent="0.2">
      <c r="A122" s="63" t="s">
        <v>185</v>
      </c>
      <c r="J122" s="171">
        <f>SUM(J114:J121)</f>
        <v>0</v>
      </c>
      <c r="K122" s="172"/>
      <c r="L122" s="171">
        <f>SUM(L114:L121)</f>
        <v>0</v>
      </c>
      <c r="M122" s="172"/>
      <c r="N122" s="171">
        <f>SUM(N114:N121)</f>
        <v>0</v>
      </c>
      <c r="O122" s="172"/>
      <c r="P122" s="171">
        <f>SUM(P114:P121)</f>
        <v>0</v>
      </c>
      <c r="Q122" s="172"/>
      <c r="R122" s="171">
        <f>SUM(R114:R121)</f>
        <v>0</v>
      </c>
    </row>
    <row r="123" spans="1:18" s="7" customFormat="1" ht="6" customHeight="1" x14ac:dyDescent="0.2"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5.75" hidden="1" customHeight="1" x14ac:dyDescent="0.2">
      <c r="A124" s="68" t="s">
        <v>190</v>
      </c>
      <c r="B124" s="11"/>
      <c r="C124" s="11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7" customFormat="1" ht="12.75" hidden="1" customHeight="1" x14ac:dyDescent="0.2">
      <c r="A125" s="11" t="s">
        <v>89</v>
      </c>
      <c r="B125" s="24"/>
      <c r="C125" s="24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hidden="1" customHeight="1" x14ac:dyDescent="0.2">
      <c r="A126" s="70" t="s">
        <v>90</v>
      </c>
      <c r="B126" s="9"/>
      <c r="C126" s="9"/>
      <c r="E126" s="112">
        <v>1</v>
      </c>
      <c r="F126" s="113" t="s">
        <v>12</v>
      </c>
      <c r="G126" s="112" t="s">
        <v>54</v>
      </c>
      <c r="H126" s="114" t="s">
        <v>10</v>
      </c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6" hidden="1" customHeight="1" x14ac:dyDescent="0.2">
      <c r="A127" s="70"/>
      <c r="B127" s="9"/>
      <c r="C127" s="9"/>
      <c r="E127" s="112"/>
      <c r="F127" s="113"/>
      <c r="G127" s="112"/>
      <c r="H127" s="11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86" t="s">
        <v>92</v>
      </c>
      <c r="B128" s="111"/>
      <c r="C128" s="111"/>
      <c r="E128" s="112">
        <v>1</v>
      </c>
      <c r="F128" s="113" t="s">
        <v>93</v>
      </c>
      <c r="G128" s="112" t="s">
        <v>7</v>
      </c>
      <c r="H128" s="112" t="s">
        <v>8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94</v>
      </c>
      <c r="B129" s="111"/>
      <c r="C129" s="111"/>
      <c r="E129" s="112">
        <v>1</v>
      </c>
      <c r="F129" s="113" t="s">
        <v>93</v>
      </c>
      <c r="G129" s="112" t="s">
        <v>34</v>
      </c>
      <c r="H129" s="112" t="s">
        <v>8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95</v>
      </c>
      <c r="B130" s="116"/>
      <c r="C130" s="116"/>
      <c r="E130" s="112">
        <v>1</v>
      </c>
      <c r="F130" s="113" t="s">
        <v>93</v>
      </c>
      <c r="G130" s="112" t="s">
        <v>34</v>
      </c>
      <c r="H130" s="112" t="s">
        <v>49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4.1" hidden="1" customHeight="1" x14ac:dyDescent="0.2">
      <c r="A131" s="86" t="s">
        <v>98</v>
      </c>
      <c r="B131" s="116"/>
      <c r="C131" s="116"/>
      <c r="E131" s="112">
        <v>1</v>
      </c>
      <c r="F131" s="113" t="s">
        <v>93</v>
      </c>
      <c r="G131" s="112" t="s">
        <v>54</v>
      </c>
      <c r="H131" s="112" t="s">
        <v>15</v>
      </c>
      <c r="J131" s="36"/>
      <c r="K131" s="36"/>
      <c r="L131" s="36"/>
      <c r="M131" s="36"/>
      <c r="N131" s="36">
        <f t="shared" ref="N131:N133" si="3">P131-L131</f>
        <v>0</v>
      </c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99</v>
      </c>
      <c r="B132" s="116"/>
      <c r="C132" s="116"/>
      <c r="D132" s="113"/>
      <c r="E132" s="112">
        <v>1</v>
      </c>
      <c r="F132" s="113" t="s">
        <v>93</v>
      </c>
      <c r="G132" s="112" t="s">
        <v>93</v>
      </c>
      <c r="H132" s="112" t="s">
        <v>10</v>
      </c>
      <c r="J132" s="36"/>
      <c r="K132" s="36"/>
      <c r="L132" s="36"/>
      <c r="M132" s="36"/>
      <c r="N132" s="36">
        <f t="shared" si="3"/>
        <v>0</v>
      </c>
      <c r="O132" s="36"/>
      <c r="P132" s="36"/>
      <c r="Q132" s="36"/>
      <c r="R132" s="36"/>
    </row>
    <row r="133" spans="1:18" s="7" customFormat="1" ht="14.1" hidden="1" customHeight="1" x14ac:dyDescent="0.2">
      <c r="A133" s="86" t="s">
        <v>100</v>
      </c>
      <c r="B133" s="111"/>
      <c r="C133" s="111"/>
      <c r="E133" s="112">
        <v>1</v>
      </c>
      <c r="F133" s="113" t="s">
        <v>93</v>
      </c>
      <c r="G133" s="112" t="s">
        <v>54</v>
      </c>
      <c r="H133" s="112" t="s">
        <v>19</v>
      </c>
      <c r="J133" s="36"/>
      <c r="K133" s="36"/>
      <c r="L133" s="36"/>
      <c r="M133" s="36"/>
      <c r="N133" s="36">
        <f t="shared" si="3"/>
        <v>0</v>
      </c>
      <c r="O133" s="36"/>
      <c r="P133" s="36"/>
      <c r="Q133" s="36"/>
      <c r="R133" s="36"/>
    </row>
    <row r="134" spans="1:18" s="7" customFormat="1" ht="12.75" hidden="1" customHeight="1" x14ac:dyDescent="0.2">
      <c r="A134" s="86" t="s">
        <v>175</v>
      </c>
      <c r="B134" s="111"/>
      <c r="C134" s="111"/>
      <c r="E134" s="112">
        <v>1</v>
      </c>
      <c r="F134" s="113" t="s">
        <v>93</v>
      </c>
      <c r="G134" s="112" t="s">
        <v>54</v>
      </c>
      <c r="H134" s="112" t="s">
        <v>82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4.1" hidden="1" customHeight="1" x14ac:dyDescent="0.2">
      <c r="A135" s="86" t="s">
        <v>176</v>
      </c>
      <c r="B135" s="111"/>
      <c r="C135" s="111"/>
      <c r="E135" s="112">
        <v>1</v>
      </c>
      <c r="F135" s="113" t="s">
        <v>93</v>
      </c>
      <c r="G135" s="112" t="s">
        <v>54</v>
      </c>
      <c r="H135" s="112" t="s">
        <v>45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4.1" hidden="1" customHeight="1" x14ac:dyDescent="0.2">
      <c r="A136" s="70" t="s">
        <v>90</v>
      </c>
      <c r="B136" s="111"/>
      <c r="C136" s="111"/>
      <c r="D136" s="113"/>
      <c r="E136" s="112">
        <v>1</v>
      </c>
      <c r="F136" s="113" t="s">
        <v>12</v>
      </c>
      <c r="G136" s="112" t="s">
        <v>54</v>
      </c>
      <c r="H136" s="112" t="s">
        <v>10</v>
      </c>
      <c r="J136" s="36">
        <v>0</v>
      </c>
      <c r="K136" s="36"/>
      <c r="L136" s="36"/>
      <c r="M136" s="36"/>
      <c r="N136" s="36"/>
      <c r="O136" s="36"/>
      <c r="P136" s="36"/>
      <c r="Q136" s="36"/>
      <c r="R136" s="36"/>
    </row>
    <row r="137" spans="1:18" s="7" customFormat="1" ht="14.1" hidden="1" customHeight="1" x14ac:dyDescent="0.2">
      <c r="A137" s="86" t="s">
        <v>96</v>
      </c>
      <c r="B137" s="116"/>
      <c r="C137" s="116"/>
      <c r="D137" s="113"/>
      <c r="E137" s="112">
        <v>1</v>
      </c>
      <c r="F137" s="113" t="s">
        <v>93</v>
      </c>
      <c r="G137" s="112" t="s">
        <v>54</v>
      </c>
      <c r="H137" s="112" t="s">
        <v>10</v>
      </c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7" customFormat="1" ht="14.1" hidden="1" customHeight="1" x14ac:dyDescent="0.2">
      <c r="A138" s="86" t="s">
        <v>177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146</v>
      </c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101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102</v>
      </c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103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24</v>
      </c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104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28</v>
      </c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7" customFormat="1" ht="14.1" hidden="1" customHeight="1" x14ac:dyDescent="0.2">
      <c r="A142" s="86" t="s">
        <v>105</v>
      </c>
      <c r="B142" s="111"/>
      <c r="C142" s="111"/>
      <c r="D142" s="113"/>
      <c r="E142" s="112">
        <v>1</v>
      </c>
      <c r="F142" s="113" t="s">
        <v>93</v>
      </c>
      <c r="G142" s="112" t="s">
        <v>54</v>
      </c>
      <c r="H142" s="114" t="s">
        <v>49</v>
      </c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106</v>
      </c>
      <c r="B143" s="111"/>
      <c r="C143" s="111"/>
      <c r="D143" s="113"/>
      <c r="E143" s="112">
        <v>1</v>
      </c>
      <c r="F143" s="113" t="s">
        <v>93</v>
      </c>
      <c r="G143" s="112" t="s">
        <v>67</v>
      </c>
      <c r="H143" s="112" t="s">
        <v>8</v>
      </c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7" customFormat="1" ht="12.75" hidden="1" customHeight="1" x14ac:dyDescent="0.2">
      <c r="A144" s="86" t="s">
        <v>97</v>
      </c>
      <c r="B144" s="111"/>
      <c r="C144" s="111"/>
      <c r="E144" s="112">
        <v>1</v>
      </c>
      <c r="F144" s="113" t="s">
        <v>93</v>
      </c>
      <c r="G144" s="112" t="s">
        <v>93</v>
      </c>
      <c r="H144" s="112" t="s">
        <v>8</v>
      </c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7" customFormat="1" ht="14.1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SUM(J128:J147)</f>
        <v>0</v>
      </c>
      <c r="K148" s="23"/>
      <c r="L148" s="21">
        <f>SUM(L128:L147)</f>
        <v>0</v>
      </c>
      <c r="N148" s="21">
        <f>SUM(N128:N147)</f>
        <v>0</v>
      </c>
      <c r="P148" s="21">
        <f>SUM(P128:P147)</f>
        <v>0</v>
      </c>
      <c r="R148" s="21">
        <f>SUM(R128:R147)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J38+J111+J148</f>
        <v>26968290.43</v>
      </c>
      <c r="K150" s="23"/>
      <c r="L150" s="29">
        <f>L38+L111+L148</f>
        <v>7051445.1599999992</v>
      </c>
      <c r="N150" s="29">
        <f>N38+N111+N148</f>
        <v>34876127.799999997</v>
      </c>
      <c r="P150" s="29">
        <f>P38+P111+P148</f>
        <v>41927572.959999993</v>
      </c>
      <c r="R150" s="29">
        <f>R38+R111+R148</f>
        <v>27611830.589999996</v>
      </c>
    </row>
    <row r="151" spans="1:18" s="7" customFormat="1" ht="12.75" customHeight="1" thickTop="1" x14ac:dyDescent="0.2">
      <c r="A151" s="11"/>
      <c r="B151" s="28"/>
      <c r="C151" s="28"/>
      <c r="J151" s="23"/>
      <c r="K151" s="23"/>
      <c r="L151" s="23"/>
      <c r="N151" s="23"/>
      <c r="P151" s="23"/>
      <c r="R151" s="23"/>
    </row>
    <row r="152" spans="1:18" x14ac:dyDescent="0.2">
      <c r="A152" s="75" t="s">
        <v>133</v>
      </c>
      <c r="D152" s="33"/>
      <c r="E152" s="32"/>
      <c r="G152" s="31"/>
      <c r="I152" s="31"/>
      <c r="J152" s="321" t="s">
        <v>276</v>
      </c>
      <c r="K152" s="321"/>
      <c r="L152" s="321"/>
      <c r="M152" s="47"/>
      <c r="N152" s="49"/>
      <c r="O152" s="49"/>
      <c r="P152" s="48" t="s">
        <v>135</v>
      </c>
    </row>
    <row r="153" spans="1:18" x14ac:dyDescent="0.2">
      <c r="A153" s="50"/>
      <c r="D153" s="33"/>
      <c r="E153" s="51"/>
      <c r="G153" s="31"/>
      <c r="I153" s="31"/>
      <c r="J153" s="205"/>
      <c r="M153" s="205"/>
      <c r="N153" s="36"/>
      <c r="O153" s="36"/>
      <c r="P153" s="51"/>
    </row>
    <row r="154" spans="1:18" x14ac:dyDescent="0.2">
      <c r="A154" s="50"/>
      <c r="D154" s="33"/>
      <c r="E154" s="51"/>
      <c r="G154" s="31"/>
      <c r="I154" s="31"/>
      <c r="J154" s="31"/>
      <c r="M154" s="31"/>
      <c r="P154" s="53"/>
    </row>
    <row r="155" spans="1:18" x14ac:dyDescent="0.2">
      <c r="A155" s="322" t="s">
        <v>337</v>
      </c>
      <c r="B155" s="322"/>
      <c r="C155" s="322"/>
      <c r="D155" s="31"/>
      <c r="E155" s="53"/>
      <c r="G155" s="31"/>
      <c r="I155" s="31"/>
      <c r="J155" s="322" t="s">
        <v>291</v>
      </c>
      <c r="K155" s="322"/>
      <c r="L155" s="322"/>
      <c r="M155" s="57"/>
      <c r="N155" s="59"/>
      <c r="O155" s="59"/>
      <c r="P155" s="58" t="s">
        <v>137</v>
      </c>
    </row>
    <row r="156" spans="1:18" x14ac:dyDescent="0.2">
      <c r="A156" s="321" t="s">
        <v>338</v>
      </c>
      <c r="B156" s="321"/>
      <c r="C156" s="321"/>
      <c r="D156" s="55"/>
      <c r="E156" s="56"/>
      <c r="G156" s="31"/>
      <c r="I156" s="31"/>
      <c r="J156" s="321" t="s">
        <v>269</v>
      </c>
      <c r="K156" s="321"/>
      <c r="L156" s="321"/>
      <c r="M156" s="33"/>
      <c r="N156" s="35"/>
      <c r="O156" s="35"/>
      <c r="P156" s="60" t="s">
        <v>139</v>
      </c>
    </row>
    <row r="157" spans="1:18" x14ac:dyDescent="0.2">
      <c r="A157" s="74"/>
      <c r="D157" s="31"/>
      <c r="E157" s="32"/>
      <c r="G157" s="31"/>
      <c r="I157" s="31"/>
      <c r="J157" s="33"/>
      <c r="M157" s="33"/>
      <c r="N157" s="35"/>
      <c r="O157" s="35"/>
      <c r="P157" s="60"/>
    </row>
  </sheetData>
  <mergeCells count="14">
    <mergeCell ref="A1:S1"/>
    <mergeCell ref="A2:S2"/>
    <mergeCell ref="L9:P9"/>
    <mergeCell ref="P10:P12"/>
    <mergeCell ref="A11:C11"/>
    <mergeCell ref="E11:H11"/>
    <mergeCell ref="A156:C156"/>
    <mergeCell ref="J156:L156"/>
    <mergeCell ref="A13:C13"/>
    <mergeCell ref="E13:H13"/>
    <mergeCell ref="A111:C111"/>
    <mergeCell ref="J152:L152"/>
    <mergeCell ref="A155:C155"/>
    <mergeCell ref="J155:L155"/>
  </mergeCells>
  <printOptions horizontalCentered="1"/>
  <pageMargins left="0.75" right="0.5" top="0.8" bottom="0.9" header="0.75" footer="0.5"/>
  <pageSetup paperSize="5" scale="90" orientation="landscape" horizontalDpi="4294967292" verticalDpi="300" r:id="rId1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9"/>
  <sheetViews>
    <sheetView view="pageBreakPreview" zoomScaleNormal="85" zoomScaleSheetLayoutView="100" workbookViewId="0">
      <pane xSplit="1" ySplit="14" topLeftCell="B69" activePane="bottomRight" state="frozen"/>
      <selection pane="topRight" activeCell="B1" sqref="B1"/>
      <selection pane="bottomLeft" activeCell="A15" sqref="A15"/>
      <selection pane="bottomRight" activeCell="E9" sqref="E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226</v>
      </c>
      <c r="H4" s="3"/>
      <c r="I4" s="3"/>
      <c r="R4" s="78" t="s">
        <v>225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227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86" t="s">
        <v>37</v>
      </c>
      <c r="B16" s="111"/>
      <c r="C16" s="111"/>
      <c r="D16" s="112"/>
      <c r="E16" s="112">
        <v>5</v>
      </c>
      <c r="F16" s="113" t="s">
        <v>12</v>
      </c>
      <c r="G16" s="112" t="s">
        <v>7</v>
      </c>
      <c r="H16" s="14" t="s">
        <v>8</v>
      </c>
      <c r="J16" s="36">
        <v>10389</v>
      </c>
      <c r="K16" s="36"/>
      <c r="L16" s="36">
        <v>0</v>
      </c>
      <c r="M16" s="36"/>
      <c r="N16" s="36">
        <f>P16-L16</f>
        <v>30000</v>
      </c>
      <c r="O16" s="36"/>
      <c r="P16" s="36">
        <v>30000</v>
      </c>
      <c r="Q16" s="36"/>
      <c r="R16" s="36">
        <v>30000</v>
      </c>
    </row>
    <row r="17" spans="1:18" s="7" customFormat="1" ht="12.75" hidden="1" customHeight="1" x14ac:dyDescent="0.2">
      <c r="A17" s="86" t="s">
        <v>38</v>
      </c>
      <c r="B17" s="111"/>
      <c r="C17" s="111"/>
      <c r="E17" s="112">
        <v>5</v>
      </c>
      <c r="F17" s="113" t="s">
        <v>12</v>
      </c>
      <c r="G17" s="112" t="s">
        <v>7</v>
      </c>
      <c r="H17" s="14" t="s">
        <v>10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18" s="7" customFormat="1" ht="12.75" hidden="1" customHeight="1" x14ac:dyDescent="0.2">
      <c r="A18" s="86" t="s">
        <v>39</v>
      </c>
      <c r="B18" s="111"/>
      <c r="C18" s="111"/>
      <c r="E18" s="112">
        <v>5</v>
      </c>
      <c r="F18" s="113" t="s">
        <v>12</v>
      </c>
      <c r="G18" s="112" t="s">
        <v>12</v>
      </c>
      <c r="H18" s="14" t="s">
        <v>8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1:18" s="7" customFormat="1" ht="12.75" hidden="1" customHeight="1" x14ac:dyDescent="0.2">
      <c r="A19" s="86" t="s">
        <v>142</v>
      </c>
      <c r="B19" s="111"/>
      <c r="C19" s="111"/>
      <c r="D19" s="112"/>
      <c r="E19" s="112">
        <v>5</v>
      </c>
      <c r="F19" s="113" t="s">
        <v>12</v>
      </c>
      <c r="G19" s="112" t="s">
        <v>12</v>
      </c>
      <c r="H19" s="14" t="s">
        <v>10</v>
      </c>
      <c r="J19" s="36"/>
      <c r="K19" s="36"/>
      <c r="L19" s="36"/>
      <c r="M19" s="36"/>
      <c r="N19" s="36"/>
      <c r="O19" s="36"/>
      <c r="P19" s="36"/>
      <c r="Q19" s="36"/>
      <c r="R19" s="36"/>
    </row>
    <row r="20" spans="1:18" s="7" customFormat="1" ht="12.75" hidden="1" customHeight="1" x14ac:dyDescent="0.2">
      <c r="A20" s="86" t="s">
        <v>40</v>
      </c>
      <c r="B20" s="111"/>
      <c r="C20" s="111"/>
      <c r="D20" s="112"/>
      <c r="E20" s="112">
        <v>5</v>
      </c>
      <c r="F20" s="113" t="s">
        <v>12</v>
      </c>
      <c r="G20" s="112" t="s">
        <v>29</v>
      </c>
      <c r="H20" s="14" t="s">
        <v>8</v>
      </c>
      <c r="J20" s="36"/>
      <c r="K20" s="36"/>
      <c r="L20" s="36"/>
      <c r="M20" s="36"/>
      <c r="N20" s="36"/>
      <c r="O20" s="36"/>
      <c r="P20" s="36"/>
      <c r="Q20" s="36"/>
      <c r="R20" s="36"/>
    </row>
    <row r="21" spans="1:18" s="7" customFormat="1" ht="12.75" hidden="1" customHeight="1" x14ac:dyDescent="0.2">
      <c r="A21" s="86" t="s">
        <v>41</v>
      </c>
      <c r="B21" s="111"/>
      <c r="C21" s="111"/>
      <c r="D21" s="112"/>
      <c r="E21" s="112">
        <v>5</v>
      </c>
      <c r="F21" s="113" t="s">
        <v>12</v>
      </c>
      <c r="G21" s="112" t="s">
        <v>29</v>
      </c>
      <c r="H21" s="14" t="s">
        <v>10</v>
      </c>
      <c r="J21" s="36"/>
      <c r="K21" s="36"/>
      <c r="L21" s="36"/>
      <c r="M21" s="36"/>
      <c r="N21" s="36">
        <f t="shared" ref="N21:N83" si="0">P21-L21</f>
        <v>0</v>
      </c>
      <c r="O21" s="36"/>
      <c r="P21" s="36"/>
      <c r="Q21" s="36"/>
      <c r="R21" s="36"/>
    </row>
    <row r="22" spans="1:18" s="7" customFormat="1" ht="12.75" hidden="1" customHeight="1" x14ac:dyDescent="0.2">
      <c r="A22" s="86" t="s">
        <v>42</v>
      </c>
      <c r="B22" s="111"/>
      <c r="C22" s="111"/>
      <c r="D22" s="112"/>
      <c r="E22" s="112">
        <v>5</v>
      </c>
      <c r="F22" s="113" t="s">
        <v>12</v>
      </c>
      <c r="G22" s="112" t="s">
        <v>29</v>
      </c>
      <c r="H22" s="14" t="s">
        <v>17</v>
      </c>
      <c r="J22" s="36"/>
      <c r="K22" s="36"/>
      <c r="L22" s="36"/>
      <c r="M22" s="36"/>
      <c r="N22" s="36">
        <f t="shared" si="0"/>
        <v>0</v>
      </c>
      <c r="O22" s="36"/>
      <c r="P22" s="36"/>
      <c r="Q22" s="36"/>
      <c r="R22" s="36"/>
    </row>
    <row r="23" spans="1:18" s="7" customFormat="1" ht="12.75" hidden="1" customHeight="1" x14ac:dyDescent="0.2">
      <c r="A23" s="86" t="s">
        <v>43</v>
      </c>
      <c r="B23" s="111"/>
      <c r="C23" s="111"/>
      <c r="D23" s="112"/>
      <c r="E23" s="112">
        <v>5</v>
      </c>
      <c r="F23" s="113" t="s">
        <v>12</v>
      </c>
      <c r="G23" s="112" t="s">
        <v>29</v>
      </c>
      <c r="H23" s="14" t="s">
        <v>64</v>
      </c>
      <c r="J23" s="36"/>
      <c r="K23" s="36"/>
      <c r="L23" s="36"/>
      <c r="M23" s="36"/>
      <c r="N23" s="36">
        <f t="shared" si="0"/>
        <v>0</v>
      </c>
      <c r="O23" s="36"/>
      <c r="P23" s="36"/>
      <c r="Q23" s="36"/>
      <c r="R23" s="36"/>
    </row>
    <row r="24" spans="1:18" s="7" customFormat="1" ht="12.75" hidden="1" customHeight="1" x14ac:dyDescent="0.2">
      <c r="A24" s="86" t="s">
        <v>88</v>
      </c>
      <c r="B24" s="111"/>
      <c r="C24" s="111"/>
      <c r="E24" s="112">
        <v>5</v>
      </c>
      <c r="F24" s="113" t="s">
        <v>12</v>
      </c>
      <c r="G24" s="112" t="s">
        <v>29</v>
      </c>
      <c r="H24" s="14" t="s">
        <v>60</v>
      </c>
      <c r="J24" s="36"/>
      <c r="K24" s="36"/>
      <c r="L24" s="36"/>
      <c r="M24" s="36"/>
      <c r="N24" s="36">
        <f t="shared" si="0"/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150</v>
      </c>
      <c r="B25" s="111"/>
      <c r="C25" s="111"/>
      <c r="D25" s="112"/>
      <c r="E25" s="112">
        <v>5</v>
      </c>
      <c r="F25" s="113" t="s">
        <v>12</v>
      </c>
      <c r="G25" s="112" t="s">
        <v>29</v>
      </c>
      <c r="H25" s="14" t="s">
        <v>19</v>
      </c>
      <c r="J25" s="39"/>
      <c r="K25" s="39"/>
      <c r="L25" s="36"/>
      <c r="M25" s="36"/>
      <c r="N25" s="36">
        <f t="shared" si="0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151</v>
      </c>
      <c r="B26" s="111"/>
      <c r="C26" s="111"/>
      <c r="D26" s="112"/>
      <c r="E26" s="112">
        <v>5</v>
      </c>
      <c r="F26" s="113" t="s">
        <v>12</v>
      </c>
      <c r="G26" s="112" t="s">
        <v>29</v>
      </c>
      <c r="H26" s="14" t="s">
        <v>82</v>
      </c>
      <c r="J26" s="39"/>
      <c r="K26" s="39"/>
      <c r="L26" s="36"/>
      <c r="M26" s="36"/>
      <c r="N26" s="36">
        <f t="shared" si="0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44</v>
      </c>
      <c r="B27" s="111"/>
      <c r="C27" s="111"/>
      <c r="D27" s="112"/>
      <c r="E27" s="112">
        <v>5</v>
      </c>
      <c r="F27" s="113" t="s">
        <v>12</v>
      </c>
      <c r="G27" s="112" t="s">
        <v>29</v>
      </c>
      <c r="H27" s="14" t="s">
        <v>45</v>
      </c>
      <c r="J27" s="39">
        <v>175152.78</v>
      </c>
      <c r="K27" s="39"/>
      <c r="L27" s="36">
        <v>59169.86</v>
      </c>
      <c r="M27" s="36"/>
      <c r="N27" s="36">
        <f t="shared" si="0"/>
        <v>510830.14</v>
      </c>
      <c r="O27" s="36"/>
      <c r="P27" s="36">
        <v>570000</v>
      </c>
      <c r="Q27" s="36"/>
      <c r="R27" s="36">
        <v>720000</v>
      </c>
    </row>
    <row r="28" spans="1:18" s="7" customFormat="1" ht="12.75" hidden="1" customHeight="1" x14ac:dyDescent="0.2">
      <c r="A28" s="86" t="s">
        <v>152</v>
      </c>
      <c r="B28" s="111"/>
      <c r="C28" s="111"/>
      <c r="D28" s="112"/>
      <c r="E28" s="112">
        <v>5</v>
      </c>
      <c r="F28" s="113" t="s">
        <v>12</v>
      </c>
      <c r="G28" s="112" t="s">
        <v>29</v>
      </c>
      <c r="H28" s="14" t="s">
        <v>102</v>
      </c>
      <c r="J28" s="36"/>
      <c r="K28" s="36"/>
      <c r="L28" s="36"/>
      <c r="M28" s="36"/>
      <c r="N28" s="36">
        <f t="shared" si="0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153</v>
      </c>
      <c r="B29" s="111"/>
      <c r="C29" s="111"/>
      <c r="D29" s="112"/>
      <c r="E29" s="112">
        <v>5</v>
      </c>
      <c r="F29" s="113" t="s">
        <v>12</v>
      </c>
      <c r="G29" s="112" t="s">
        <v>29</v>
      </c>
      <c r="H29" s="14" t="s">
        <v>146</v>
      </c>
      <c r="J29" s="36"/>
      <c r="K29" s="36"/>
      <c r="L29" s="36"/>
      <c r="M29" s="36"/>
      <c r="N29" s="36">
        <f t="shared" si="0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46</v>
      </c>
      <c r="B30" s="111"/>
      <c r="C30" s="111"/>
      <c r="D30" s="112"/>
      <c r="E30" s="112">
        <v>5</v>
      </c>
      <c r="F30" s="113" t="s">
        <v>12</v>
      </c>
      <c r="G30" s="112" t="s">
        <v>29</v>
      </c>
      <c r="H30" s="14" t="s">
        <v>47</v>
      </c>
      <c r="J30" s="36"/>
      <c r="K30" s="36"/>
      <c r="L30" s="36"/>
      <c r="M30" s="36"/>
      <c r="N30" s="36">
        <f t="shared" si="0"/>
        <v>0</v>
      </c>
      <c r="O30" s="36"/>
      <c r="P30" s="36"/>
      <c r="Q30" s="36"/>
      <c r="R30" s="36"/>
    </row>
    <row r="31" spans="1:18" s="7" customFormat="1" ht="12.75" hidden="1" customHeight="1" x14ac:dyDescent="0.2">
      <c r="A31" s="86" t="s">
        <v>154</v>
      </c>
      <c r="B31" s="111"/>
      <c r="C31" s="111"/>
      <c r="E31" s="112">
        <v>5</v>
      </c>
      <c r="F31" s="113" t="s">
        <v>12</v>
      </c>
      <c r="G31" s="112" t="s">
        <v>29</v>
      </c>
      <c r="H31" s="14" t="s">
        <v>15</v>
      </c>
      <c r="J31" s="36"/>
      <c r="K31" s="36"/>
      <c r="L31" s="36"/>
      <c r="M31" s="36"/>
      <c r="N31" s="36">
        <f t="shared" si="0"/>
        <v>0</v>
      </c>
      <c r="O31" s="36"/>
      <c r="P31" s="36"/>
      <c r="Q31" s="36"/>
      <c r="R31" s="36"/>
    </row>
    <row r="32" spans="1:18" s="7" customFormat="1" ht="12.75" hidden="1" customHeight="1" x14ac:dyDescent="0.2">
      <c r="A32" s="86" t="s">
        <v>51</v>
      </c>
      <c r="B32" s="111"/>
      <c r="C32" s="111"/>
      <c r="D32" s="112"/>
      <c r="E32" s="112">
        <v>5</v>
      </c>
      <c r="F32" s="113" t="s">
        <v>12</v>
      </c>
      <c r="G32" s="112" t="s">
        <v>29</v>
      </c>
      <c r="H32" s="14" t="s">
        <v>24</v>
      </c>
      <c r="J32" s="36"/>
      <c r="K32" s="36"/>
      <c r="L32" s="36"/>
      <c r="M32" s="36"/>
      <c r="N32" s="36">
        <f t="shared" si="0"/>
        <v>0</v>
      </c>
      <c r="O32" s="36"/>
      <c r="P32" s="36"/>
      <c r="Q32" s="36"/>
      <c r="R32" s="36"/>
    </row>
    <row r="33" spans="1:18" s="7" customFormat="1" ht="12.75" customHeight="1" x14ac:dyDescent="0.2">
      <c r="A33" s="86" t="s">
        <v>48</v>
      </c>
      <c r="B33" s="111"/>
      <c r="C33" s="111"/>
      <c r="E33" s="112">
        <v>5</v>
      </c>
      <c r="F33" s="113" t="s">
        <v>12</v>
      </c>
      <c r="G33" s="112" t="s">
        <v>29</v>
      </c>
      <c r="H33" s="16" t="s">
        <v>49</v>
      </c>
      <c r="J33" s="36">
        <v>7037.75</v>
      </c>
      <c r="K33" s="36"/>
      <c r="L33" s="36">
        <v>0</v>
      </c>
      <c r="M33" s="36"/>
      <c r="N33" s="36">
        <f t="shared" si="0"/>
        <v>100000</v>
      </c>
      <c r="O33" s="36"/>
      <c r="P33" s="36">
        <v>100000</v>
      </c>
      <c r="Q33" s="36"/>
      <c r="R33" s="36">
        <v>100000</v>
      </c>
    </row>
    <row r="34" spans="1:18" s="7" customFormat="1" ht="12.75" hidden="1" customHeight="1" x14ac:dyDescent="0.2">
      <c r="A34" s="86" t="s">
        <v>50</v>
      </c>
      <c r="B34" s="111"/>
      <c r="C34" s="111"/>
      <c r="D34" s="112"/>
      <c r="E34" s="112">
        <v>5</v>
      </c>
      <c r="F34" s="113" t="s">
        <v>12</v>
      </c>
      <c r="G34" s="112" t="s">
        <v>34</v>
      </c>
      <c r="H34" s="14" t="s">
        <v>8</v>
      </c>
      <c r="J34" s="36"/>
      <c r="K34" s="36"/>
      <c r="L34" s="36"/>
      <c r="M34" s="36"/>
      <c r="N34" s="36">
        <f t="shared" si="0"/>
        <v>0</v>
      </c>
      <c r="O34" s="36"/>
      <c r="P34" s="36"/>
      <c r="Q34" s="36"/>
      <c r="R34" s="36"/>
    </row>
    <row r="35" spans="1:18" s="7" customFormat="1" ht="12.75" customHeight="1" x14ac:dyDescent="0.2">
      <c r="A35" s="86" t="s">
        <v>52</v>
      </c>
      <c r="B35" s="111"/>
      <c r="C35" s="111"/>
      <c r="D35" s="112"/>
      <c r="E35" s="112">
        <v>5</v>
      </c>
      <c r="F35" s="113" t="s">
        <v>12</v>
      </c>
      <c r="G35" s="112" t="s">
        <v>34</v>
      </c>
      <c r="H35" s="14" t="s">
        <v>10</v>
      </c>
      <c r="J35" s="36">
        <v>11649111.060000001</v>
      </c>
      <c r="K35" s="36"/>
      <c r="L35" s="36">
        <v>2208295.2400000002</v>
      </c>
      <c r="M35" s="36"/>
      <c r="N35" s="36">
        <f t="shared" si="0"/>
        <v>9575704.7599999998</v>
      </c>
      <c r="O35" s="36"/>
      <c r="P35" s="36">
        <v>11784000</v>
      </c>
      <c r="Q35" s="36"/>
      <c r="R35" s="36">
        <v>11784000</v>
      </c>
    </row>
    <row r="36" spans="1:18" s="7" customFormat="1" ht="12.75" hidden="1" customHeight="1" x14ac:dyDescent="0.2">
      <c r="A36" s="86" t="s">
        <v>48</v>
      </c>
      <c r="B36" s="111"/>
      <c r="C36" s="111"/>
      <c r="D36" s="112"/>
      <c r="E36" s="112">
        <v>5</v>
      </c>
      <c r="F36" s="113" t="s">
        <v>12</v>
      </c>
      <c r="G36" s="112" t="s">
        <v>29</v>
      </c>
      <c r="H36" s="16" t="s">
        <v>49</v>
      </c>
      <c r="J36" s="36"/>
      <c r="K36" s="36"/>
      <c r="L36" s="36"/>
      <c r="M36" s="36"/>
      <c r="N36" s="36">
        <f t="shared" si="0"/>
        <v>0</v>
      </c>
      <c r="O36" s="36"/>
      <c r="P36" s="36"/>
      <c r="Q36" s="36"/>
      <c r="R36" s="36"/>
    </row>
    <row r="37" spans="1:18" s="7" customFormat="1" ht="12.75" hidden="1" customHeight="1" x14ac:dyDescent="0.2">
      <c r="A37" s="86" t="s">
        <v>53</v>
      </c>
      <c r="B37" s="111"/>
      <c r="C37" s="111"/>
      <c r="E37" s="112">
        <v>5</v>
      </c>
      <c r="F37" s="113" t="s">
        <v>12</v>
      </c>
      <c r="G37" s="112" t="s">
        <v>54</v>
      </c>
      <c r="H37" s="14" t="s">
        <v>8</v>
      </c>
      <c r="J37" s="36"/>
      <c r="K37" s="36"/>
      <c r="L37" s="36"/>
      <c r="M37" s="36"/>
      <c r="N37" s="36">
        <f t="shared" si="0"/>
        <v>0</v>
      </c>
      <c r="O37" s="36"/>
      <c r="P37" s="36"/>
      <c r="Q37" s="36"/>
      <c r="R37" s="36"/>
    </row>
    <row r="38" spans="1:18" s="7" customFormat="1" ht="12.75" customHeight="1" x14ac:dyDescent="0.2">
      <c r="A38" s="86" t="s">
        <v>55</v>
      </c>
      <c r="B38" s="111"/>
      <c r="C38" s="111"/>
      <c r="E38" s="112">
        <v>5</v>
      </c>
      <c r="F38" s="113" t="s">
        <v>12</v>
      </c>
      <c r="G38" s="112" t="s">
        <v>54</v>
      </c>
      <c r="H38" s="14" t="s">
        <v>10</v>
      </c>
      <c r="J38" s="36">
        <v>91140.99</v>
      </c>
      <c r="K38" s="36"/>
      <c r="L38" s="36">
        <v>24800.22</v>
      </c>
      <c r="M38" s="36"/>
      <c r="N38" s="36">
        <f>P38-L38</f>
        <v>77199.78</v>
      </c>
      <c r="O38" s="36"/>
      <c r="P38" s="36">
        <v>102000</v>
      </c>
      <c r="Q38" s="36"/>
      <c r="R38" s="36">
        <v>102000</v>
      </c>
    </row>
    <row r="39" spans="1:18" s="7" customFormat="1" ht="12.75" customHeight="1" x14ac:dyDescent="0.2">
      <c r="A39" s="86" t="s">
        <v>56</v>
      </c>
      <c r="B39" s="111"/>
      <c r="C39" s="111"/>
      <c r="E39" s="112">
        <v>5</v>
      </c>
      <c r="F39" s="113" t="s">
        <v>12</v>
      </c>
      <c r="G39" s="112" t="s">
        <v>54</v>
      </c>
      <c r="H39" s="14" t="s">
        <v>15</v>
      </c>
      <c r="J39" s="36"/>
      <c r="K39" s="36"/>
      <c r="L39" s="36">
        <v>4480</v>
      </c>
      <c r="M39" s="36"/>
      <c r="N39" s="36">
        <f>P39-L39</f>
        <v>45520</v>
      </c>
      <c r="O39" s="36"/>
      <c r="P39" s="36">
        <v>50000</v>
      </c>
      <c r="Q39" s="36"/>
      <c r="R39" s="36">
        <v>50000</v>
      </c>
    </row>
    <row r="40" spans="1:18" s="7" customFormat="1" ht="12.75" hidden="1" customHeight="1" x14ac:dyDescent="0.2">
      <c r="A40" s="86" t="s">
        <v>57</v>
      </c>
      <c r="B40" s="111"/>
      <c r="C40" s="111"/>
      <c r="E40" s="112">
        <v>5</v>
      </c>
      <c r="F40" s="113" t="s">
        <v>12</v>
      </c>
      <c r="G40" s="112" t="s">
        <v>54</v>
      </c>
      <c r="H40" s="14" t="s">
        <v>17</v>
      </c>
      <c r="J40" s="36"/>
      <c r="K40" s="36"/>
      <c r="L40" s="36"/>
      <c r="M40" s="36"/>
      <c r="N40" s="36">
        <f t="shared" si="0"/>
        <v>0</v>
      </c>
      <c r="O40" s="36"/>
      <c r="P40" s="36"/>
      <c r="Q40" s="36"/>
      <c r="R40" s="36"/>
    </row>
    <row r="41" spans="1:18" s="7" customFormat="1" ht="12.75" hidden="1" customHeight="1" x14ac:dyDescent="0.2">
      <c r="A41" s="86" t="s">
        <v>58</v>
      </c>
      <c r="B41" s="111"/>
      <c r="C41" s="111"/>
      <c r="E41" s="112">
        <v>5</v>
      </c>
      <c r="F41" s="112" t="s">
        <v>12</v>
      </c>
      <c r="G41" s="112" t="s">
        <v>59</v>
      </c>
      <c r="H41" s="14" t="s">
        <v>60</v>
      </c>
      <c r="J41" s="36"/>
      <c r="K41" s="36"/>
      <c r="L41" s="36"/>
      <c r="M41" s="36"/>
      <c r="N41" s="36">
        <f t="shared" si="0"/>
        <v>0</v>
      </c>
      <c r="O41" s="36"/>
      <c r="P41" s="36"/>
      <c r="Q41" s="36"/>
      <c r="R41" s="36"/>
    </row>
    <row r="42" spans="1:18" s="7" customFormat="1" ht="12.75" hidden="1" customHeight="1" x14ac:dyDescent="0.2">
      <c r="A42" s="86" t="s">
        <v>66</v>
      </c>
      <c r="B42" s="111"/>
      <c r="C42" s="111"/>
      <c r="E42" s="112">
        <v>5</v>
      </c>
      <c r="F42" s="113" t="s">
        <v>12</v>
      </c>
      <c r="G42" s="112" t="s">
        <v>67</v>
      </c>
      <c r="H42" s="14" t="s">
        <v>8</v>
      </c>
      <c r="J42" s="36"/>
      <c r="K42" s="36"/>
      <c r="L42" s="36"/>
      <c r="M42" s="36"/>
      <c r="N42" s="36">
        <f t="shared" si="0"/>
        <v>0</v>
      </c>
      <c r="O42" s="36"/>
      <c r="P42" s="36"/>
      <c r="Q42" s="36"/>
      <c r="R42" s="36"/>
    </row>
    <row r="43" spans="1:18" s="7" customFormat="1" ht="12.75" hidden="1" customHeight="1" x14ac:dyDescent="0.2">
      <c r="A43" s="86" t="s">
        <v>61</v>
      </c>
      <c r="B43" s="111"/>
      <c r="C43" s="111"/>
      <c r="E43" s="112">
        <v>5</v>
      </c>
      <c r="F43" s="113" t="s">
        <v>12</v>
      </c>
      <c r="G43" s="112" t="s">
        <v>59</v>
      </c>
      <c r="H43" s="14" t="s">
        <v>8</v>
      </c>
      <c r="J43" s="36"/>
      <c r="K43" s="36"/>
      <c r="L43" s="36"/>
      <c r="M43" s="36"/>
      <c r="N43" s="36">
        <f t="shared" si="0"/>
        <v>0</v>
      </c>
      <c r="O43" s="36"/>
      <c r="P43" s="36"/>
      <c r="Q43" s="36"/>
      <c r="R43" s="36"/>
    </row>
    <row r="44" spans="1:18" s="7" customFormat="1" ht="12.75" hidden="1" customHeight="1" x14ac:dyDescent="0.2">
      <c r="A44" s="86" t="s">
        <v>62</v>
      </c>
      <c r="B44" s="111"/>
      <c r="C44" s="111"/>
      <c r="E44" s="112">
        <v>5</v>
      </c>
      <c r="F44" s="113" t="s">
        <v>12</v>
      </c>
      <c r="G44" s="112" t="s">
        <v>59</v>
      </c>
      <c r="H44" s="14" t="s">
        <v>10</v>
      </c>
      <c r="J44" s="36"/>
      <c r="K44" s="36"/>
      <c r="L44" s="36"/>
      <c r="M44" s="36"/>
      <c r="N44" s="36">
        <f t="shared" si="0"/>
        <v>0</v>
      </c>
      <c r="O44" s="36"/>
      <c r="P44" s="36"/>
      <c r="Q44" s="36"/>
      <c r="R44" s="36"/>
    </row>
    <row r="45" spans="1:18" s="7" customFormat="1" ht="12.75" hidden="1" customHeight="1" x14ac:dyDescent="0.2">
      <c r="A45" s="86" t="s">
        <v>63</v>
      </c>
      <c r="B45" s="111"/>
      <c r="C45" s="111"/>
      <c r="E45" s="112">
        <v>5</v>
      </c>
      <c r="F45" s="113" t="s">
        <v>12</v>
      </c>
      <c r="G45" s="112" t="s">
        <v>59</v>
      </c>
      <c r="H45" s="14" t="s">
        <v>64</v>
      </c>
      <c r="J45" s="36"/>
      <c r="K45" s="36"/>
      <c r="L45" s="36"/>
      <c r="M45" s="36"/>
      <c r="N45" s="36">
        <f t="shared" si="0"/>
        <v>0</v>
      </c>
      <c r="O45" s="36"/>
      <c r="P45" s="36"/>
      <c r="Q45" s="36"/>
      <c r="R45" s="36"/>
    </row>
    <row r="46" spans="1:18" s="7" customFormat="1" ht="12.75" hidden="1" customHeight="1" x14ac:dyDescent="0.2">
      <c r="A46" s="86" t="s">
        <v>155</v>
      </c>
      <c r="B46" s="111"/>
      <c r="C46" s="111"/>
      <c r="E46" s="112">
        <v>5</v>
      </c>
      <c r="F46" s="113" t="s">
        <v>12</v>
      </c>
      <c r="G46" s="112" t="s">
        <v>59</v>
      </c>
      <c r="H46" s="14" t="s">
        <v>15</v>
      </c>
      <c r="J46" s="36"/>
      <c r="K46" s="36"/>
      <c r="L46" s="36"/>
      <c r="M46" s="36"/>
      <c r="N46" s="36">
        <f t="shared" si="0"/>
        <v>0</v>
      </c>
      <c r="O46" s="36"/>
      <c r="P46" s="36"/>
      <c r="Q46" s="36"/>
      <c r="R46" s="36"/>
    </row>
    <row r="47" spans="1:18" s="7" customFormat="1" ht="12.75" hidden="1" customHeight="1" x14ac:dyDescent="0.2">
      <c r="A47" s="86" t="s">
        <v>156</v>
      </c>
      <c r="B47" s="111"/>
      <c r="C47" s="111"/>
      <c r="E47" s="112">
        <v>5</v>
      </c>
      <c r="F47" s="112" t="s">
        <v>12</v>
      </c>
      <c r="G47" s="112" t="s">
        <v>59</v>
      </c>
      <c r="H47" s="14" t="s">
        <v>17</v>
      </c>
      <c r="J47" s="36"/>
      <c r="K47" s="36"/>
      <c r="L47" s="36"/>
      <c r="M47" s="36"/>
      <c r="N47" s="36">
        <f t="shared" si="0"/>
        <v>0</v>
      </c>
      <c r="O47" s="36"/>
      <c r="P47" s="36"/>
      <c r="Q47" s="36"/>
      <c r="R47" s="36"/>
    </row>
    <row r="48" spans="1:18" s="7" customFormat="1" ht="12.75" hidden="1" customHeight="1" x14ac:dyDescent="0.2">
      <c r="A48" s="86" t="s">
        <v>63</v>
      </c>
      <c r="B48" s="111"/>
      <c r="C48" s="111"/>
      <c r="E48" s="112">
        <v>5</v>
      </c>
      <c r="F48" s="113" t="s">
        <v>12</v>
      </c>
      <c r="G48" s="112" t="s">
        <v>59</v>
      </c>
      <c r="H48" s="14" t="s">
        <v>64</v>
      </c>
      <c r="J48" s="36"/>
      <c r="K48" s="36"/>
      <c r="L48" s="36"/>
      <c r="M48" s="36"/>
      <c r="N48" s="36">
        <f t="shared" si="0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65</v>
      </c>
      <c r="B49" s="111"/>
      <c r="C49" s="111"/>
      <c r="E49" s="112">
        <v>5</v>
      </c>
      <c r="F49" s="113" t="s">
        <v>12</v>
      </c>
      <c r="G49" s="112" t="s">
        <v>59</v>
      </c>
      <c r="H49" s="14" t="s">
        <v>19</v>
      </c>
      <c r="J49" s="36"/>
      <c r="K49" s="36"/>
      <c r="L49" s="36"/>
      <c r="M49" s="36"/>
      <c r="N49" s="36">
        <f t="shared" si="0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157</v>
      </c>
      <c r="B50" s="111"/>
      <c r="C50" s="111"/>
      <c r="E50" s="112">
        <v>5</v>
      </c>
      <c r="F50" s="113" t="s">
        <v>12</v>
      </c>
      <c r="G50" s="112" t="s">
        <v>93</v>
      </c>
      <c r="H50" s="14" t="s">
        <v>8</v>
      </c>
      <c r="J50" s="36"/>
      <c r="K50" s="36"/>
      <c r="L50" s="36"/>
      <c r="M50" s="36"/>
      <c r="N50" s="36">
        <f t="shared" si="0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66</v>
      </c>
      <c r="B51" s="111"/>
      <c r="C51" s="111"/>
      <c r="E51" s="112">
        <v>5</v>
      </c>
      <c r="F51" s="113" t="s">
        <v>12</v>
      </c>
      <c r="G51" s="112" t="s">
        <v>67</v>
      </c>
      <c r="H51" s="14" t="s">
        <v>8</v>
      </c>
      <c r="J51" s="36"/>
      <c r="K51" s="36"/>
      <c r="L51" s="36"/>
      <c r="M51" s="36"/>
      <c r="N51" s="36">
        <f t="shared" si="0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68</v>
      </c>
      <c r="B52" s="111"/>
      <c r="C52" s="111"/>
      <c r="E52" s="112">
        <v>5</v>
      </c>
      <c r="F52" s="113" t="s">
        <v>12</v>
      </c>
      <c r="G52" s="112" t="s">
        <v>67</v>
      </c>
      <c r="H52" s="14" t="s">
        <v>10</v>
      </c>
      <c r="J52" s="36"/>
      <c r="K52" s="36"/>
      <c r="L52" s="36"/>
      <c r="M52" s="36"/>
      <c r="N52" s="36">
        <f t="shared" si="0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158</v>
      </c>
      <c r="B53" s="111"/>
      <c r="C53" s="111"/>
      <c r="E53" s="112">
        <v>5</v>
      </c>
      <c r="F53" s="113" t="s">
        <v>12</v>
      </c>
      <c r="G53" s="112" t="s">
        <v>70</v>
      </c>
      <c r="H53" s="14" t="s">
        <v>8</v>
      </c>
      <c r="J53" s="36"/>
      <c r="K53" s="36"/>
      <c r="L53" s="36"/>
      <c r="M53" s="36"/>
      <c r="N53" s="36">
        <f t="shared" si="0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159</v>
      </c>
      <c r="B54" s="111"/>
      <c r="C54" s="111"/>
      <c r="E54" s="112">
        <v>5</v>
      </c>
      <c r="F54" s="113" t="s">
        <v>12</v>
      </c>
      <c r="G54" s="112" t="s">
        <v>70</v>
      </c>
      <c r="H54" s="14" t="s">
        <v>10</v>
      </c>
      <c r="J54" s="36"/>
      <c r="K54" s="36"/>
      <c r="L54" s="36"/>
      <c r="M54" s="36"/>
      <c r="N54" s="36">
        <f t="shared" si="0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69</v>
      </c>
      <c r="B55" s="111"/>
      <c r="C55" s="111"/>
      <c r="E55" s="112">
        <v>5</v>
      </c>
      <c r="F55" s="113" t="s">
        <v>12</v>
      </c>
      <c r="G55" s="112" t="s">
        <v>70</v>
      </c>
      <c r="H55" s="14" t="s">
        <v>15</v>
      </c>
      <c r="J55" s="36"/>
      <c r="K55" s="36"/>
      <c r="L55" s="36"/>
      <c r="M55" s="36"/>
      <c r="N55" s="36">
        <f t="shared" si="0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160</v>
      </c>
      <c r="B56" s="111"/>
      <c r="C56" s="111"/>
      <c r="E56" s="112">
        <v>5</v>
      </c>
      <c r="F56" s="113" t="s">
        <v>12</v>
      </c>
      <c r="G56" s="112" t="s">
        <v>163</v>
      </c>
      <c r="H56" s="14" t="s">
        <v>8</v>
      </c>
      <c r="J56" s="36"/>
      <c r="K56" s="36"/>
      <c r="L56" s="36"/>
      <c r="M56" s="36"/>
      <c r="N56" s="36">
        <f t="shared" si="0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161</v>
      </c>
      <c r="B57" s="111"/>
      <c r="C57" s="111"/>
      <c r="E57" s="112">
        <v>5</v>
      </c>
      <c r="F57" s="113" t="s">
        <v>12</v>
      </c>
      <c r="G57" s="112" t="s">
        <v>163</v>
      </c>
      <c r="H57" s="16" t="s">
        <v>49</v>
      </c>
      <c r="J57" s="36"/>
      <c r="K57" s="36"/>
      <c r="L57" s="36"/>
      <c r="M57" s="36"/>
      <c r="N57" s="36">
        <f t="shared" si="0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71</v>
      </c>
      <c r="B58" s="111"/>
      <c r="C58" s="111"/>
      <c r="E58" s="112">
        <v>5</v>
      </c>
      <c r="F58" s="113" t="s">
        <v>12</v>
      </c>
      <c r="G58" s="112" t="s">
        <v>163</v>
      </c>
      <c r="H58" s="14" t="s">
        <v>10</v>
      </c>
      <c r="J58" s="36"/>
      <c r="K58" s="36"/>
      <c r="L58" s="36"/>
      <c r="M58" s="36"/>
      <c r="N58" s="36">
        <f t="shared" si="0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162</v>
      </c>
      <c r="B59" s="111"/>
      <c r="C59" s="111"/>
      <c r="E59" s="112">
        <v>5</v>
      </c>
      <c r="F59" s="113" t="s">
        <v>12</v>
      </c>
      <c r="G59" s="112" t="s">
        <v>163</v>
      </c>
      <c r="H59" s="14" t="s">
        <v>15</v>
      </c>
      <c r="J59" s="36"/>
      <c r="K59" s="36"/>
      <c r="L59" s="36"/>
      <c r="M59" s="36"/>
      <c r="N59" s="36">
        <f t="shared" si="0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72</v>
      </c>
      <c r="B60" s="111"/>
      <c r="C60" s="111"/>
      <c r="E60" s="112">
        <v>5</v>
      </c>
      <c r="F60" s="113" t="s">
        <v>12</v>
      </c>
      <c r="G60" s="112" t="s">
        <v>70</v>
      </c>
      <c r="H60" s="14" t="s">
        <v>49</v>
      </c>
      <c r="J60" s="36"/>
      <c r="K60" s="36"/>
      <c r="L60" s="36"/>
      <c r="M60" s="36"/>
      <c r="N60" s="36">
        <f t="shared" si="0"/>
        <v>0</v>
      </c>
      <c r="O60" s="36"/>
      <c r="P60" s="36"/>
      <c r="Q60" s="36"/>
      <c r="R60" s="36"/>
    </row>
    <row r="61" spans="1:18" s="7" customFormat="1" ht="12.75" hidden="1" customHeight="1" x14ac:dyDescent="0.2">
      <c r="A61" s="86" t="s">
        <v>164</v>
      </c>
      <c r="B61" s="111"/>
      <c r="C61" s="111"/>
      <c r="E61" s="112">
        <v>5</v>
      </c>
      <c r="F61" s="113" t="s">
        <v>12</v>
      </c>
      <c r="G61" s="112" t="s">
        <v>74</v>
      </c>
      <c r="H61" s="14" t="s">
        <v>10</v>
      </c>
      <c r="J61" s="36"/>
      <c r="K61" s="36"/>
      <c r="L61" s="36"/>
      <c r="M61" s="36"/>
      <c r="N61" s="36">
        <f t="shared" si="0"/>
        <v>0</v>
      </c>
      <c r="O61" s="36"/>
      <c r="P61" s="36"/>
      <c r="Q61" s="36"/>
      <c r="R61" s="36"/>
    </row>
    <row r="62" spans="1:18" s="7" customFormat="1" ht="12.75" customHeight="1" x14ac:dyDescent="0.2">
      <c r="A62" s="86" t="s">
        <v>165</v>
      </c>
      <c r="B62" s="111"/>
      <c r="C62" s="111"/>
      <c r="E62" s="112">
        <v>5</v>
      </c>
      <c r="F62" s="113" t="s">
        <v>12</v>
      </c>
      <c r="G62" s="112" t="s">
        <v>74</v>
      </c>
      <c r="H62" s="14" t="s">
        <v>15</v>
      </c>
      <c r="J62" s="36">
        <v>0</v>
      </c>
      <c r="K62" s="36"/>
      <c r="L62" s="36">
        <v>0</v>
      </c>
      <c r="M62" s="36"/>
      <c r="N62" s="36">
        <f t="shared" si="0"/>
        <v>100000</v>
      </c>
      <c r="O62" s="36"/>
      <c r="P62" s="36">
        <v>100000</v>
      </c>
      <c r="Q62" s="36"/>
      <c r="R62" s="36">
        <v>100000</v>
      </c>
    </row>
    <row r="63" spans="1:18" s="7" customFormat="1" ht="12.75" customHeight="1" x14ac:dyDescent="0.2">
      <c r="A63" s="86" t="s">
        <v>166</v>
      </c>
      <c r="B63" s="111"/>
      <c r="C63" s="111"/>
      <c r="E63" s="112">
        <v>5</v>
      </c>
      <c r="F63" s="113" t="s">
        <v>12</v>
      </c>
      <c r="G63" s="112" t="s">
        <v>74</v>
      </c>
      <c r="H63" s="14" t="s">
        <v>17</v>
      </c>
      <c r="J63" s="36">
        <v>808449.25</v>
      </c>
      <c r="K63" s="36"/>
      <c r="L63" s="36">
        <v>0</v>
      </c>
      <c r="M63" s="36"/>
      <c r="N63" s="36">
        <f t="shared" si="0"/>
        <v>800000</v>
      </c>
      <c r="O63" s="36"/>
      <c r="P63" s="36">
        <v>800000</v>
      </c>
      <c r="Q63" s="36"/>
      <c r="R63" s="36">
        <v>585200</v>
      </c>
    </row>
    <row r="64" spans="1:18" s="7" customFormat="1" ht="12.75" hidden="1" customHeight="1" x14ac:dyDescent="0.2">
      <c r="A64" s="86" t="s">
        <v>167</v>
      </c>
      <c r="B64" s="111"/>
      <c r="C64" s="111"/>
      <c r="E64" s="112">
        <v>5</v>
      </c>
      <c r="F64" s="113" t="s">
        <v>12</v>
      </c>
      <c r="G64" s="112" t="s">
        <v>74</v>
      </c>
      <c r="H64" s="14" t="s">
        <v>8</v>
      </c>
      <c r="J64" s="36"/>
      <c r="K64" s="36"/>
      <c r="L64" s="36"/>
      <c r="M64" s="36"/>
      <c r="N64" s="36">
        <f t="shared" si="0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168</v>
      </c>
      <c r="B65" s="111"/>
      <c r="C65" s="111"/>
      <c r="E65" s="112">
        <v>5</v>
      </c>
      <c r="F65" s="113" t="s">
        <v>12</v>
      </c>
      <c r="G65" s="112" t="s">
        <v>74</v>
      </c>
      <c r="H65" s="14" t="s">
        <v>45</v>
      </c>
      <c r="J65" s="36"/>
      <c r="K65" s="36"/>
      <c r="L65" s="36"/>
      <c r="M65" s="36"/>
      <c r="N65" s="36">
        <f t="shared" si="0"/>
        <v>0</v>
      </c>
      <c r="O65" s="36"/>
      <c r="P65" s="36"/>
      <c r="Q65" s="36"/>
      <c r="R65" s="36"/>
    </row>
    <row r="66" spans="1:18" s="7" customFormat="1" ht="12.75" customHeight="1" x14ac:dyDescent="0.2">
      <c r="A66" s="86" t="s">
        <v>73</v>
      </c>
      <c r="B66" s="111"/>
      <c r="C66" s="111"/>
      <c r="E66" s="112">
        <v>5</v>
      </c>
      <c r="F66" s="113" t="s">
        <v>12</v>
      </c>
      <c r="G66" s="112" t="s">
        <v>74</v>
      </c>
      <c r="H66" s="14" t="s">
        <v>64</v>
      </c>
      <c r="J66" s="36">
        <v>1291793</v>
      </c>
      <c r="K66" s="36"/>
      <c r="L66" s="36">
        <v>0</v>
      </c>
      <c r="M66" s="36"/>
      <c r="N66" s="36">
        <f t="shared" si="0"/>
        <v>2000000</v>
      </c>
      <c r="O66" s="36"/>
      <c r="P66" s="36">
        <v>2000000</v>
      </c>
      <c r="Q66" s="36"/>
      <c r="R66" s="36">
        <v>2000000</v>
      </c>
    </row>
    <row r="67" spans="1:18" s="7" customFormat="1" ht="12.75" customHeight="1" x14ac:dyDescent="0.2">
      <c r="A67" s="86" t="s">
        <v>75</v>
      </c>
      <c r="B67" s="111"/>
      <c r="C67" s="111"/>
      <c r="E67" s="112">
        <v>5</v>
      </c>
      <c r="F67" s="113" t="s">
        <v>12</v>
      </c>
      <c r="G67" s="112" t="s">
        <v>74</v>
      </c>
      <c r="H67" s="14" t="s">
        <v>19</v>
      </c>
      <c r="J67" s="36">
        <v>0</v>
      </c>
      <c r="K67" s="36"/>
      <c r="L67" s="36">
        <v>0</v>
      </c>
      <c r="M67" s="36"/>
      <c r="N67" s="36">
        <f t="shared" si="0"/>
        <v>20000</v>
      </c>
      <c r="O67" s="36"/>
      <c r="P67" s="36">
        <v>20000</v>
      </c>
      <c r="Q67" s="36"/>
      <c r="R67" s="36">
        <v>20000</v>
      </c>
    </row>
    <row r="68" spans="1:18" s="7" customFormat="1" ht="12.75" hidden="1" customHeight="1" x14ac:dyDescent="0.2">
      <c r="A68" s="86" t="s">
        <v>76</v>
      </c>
      <c r="B68" s="111"/>
      <c r="C68" s="111"/>
      <c r="E68" s="112">
        <v>5</v>
      </c>
      <c r="F68" s="113" t="s">
        <v>12</v>
      </c>
      <c r="G68" s="112" t="s">
        <v>74</v>
      </c>
      <c r="H68" s="14" t="s">
        <v>60</v>
      </c>
      <c r="J68" s="36"/>
      <c r="K68" s="36"/>
      <c r="L68" s="36"/>
      <c r="M68" s="36"/>
      <c r="N68" s="36">
        <f t="shared" si="0"/>
        <v>0</v>
      </c>
      <c r="O68" s="36"/>
      <c r="P68" s="36"/>
      <c r="Q68" s="36"/>
      <c r="R68" s="36"/>
    </row>
    <row r="69" spans="1:18" s="7" customFormat="1" ht="12.75" customHeight="1" x14ac:dyDescent="0.2">
      <c r="A69" s="86" t="s">
        <v>77</v>
      </c>
      <c r="B69" s="111"/>
      <c r="C69" s="111"/>
      <c r="E69" s="112">
        <v>5</v>
      </c>
      <c r="F69" s="113" t="s">
        <v>12</v>
      </c>
      <c r="G69" s="112" t="s">
        <v>74</v>
      </c>
      <c r="H69" s="14" t="s">
        <v>49</v>
      </c>
      <c r="J69" s="36">
        <v>16635</v>
      </c>
      <c r="K69" s="36"/>
      <c r="L69" s="36">
        <v>0</v>
      </c>
      <c r="M69" s="36"/>
      <c r="N69" s="36">
        <f t="shared" si="0"/>
        <v>50000</v>
      </c>
      <c r="O69" s="36"/>
      <c r="P69" s="36">
        <v>50000</v>
      </c>
      <c r="Q69" s="36"/>
      <c r="R69" s="36">
        <v>100000</v>
      </c>
    </row>
    <row r="70" spans="1:18" s="7" customFormat="1" ht="12.75" hidden="1" customHeight="1" x14ac:dyDescent="0.2">
      <c r="A70" s="86" t="s">
        <v>165</v>
      </c>
      <c r="B70" s="111"/>
      <c r="C70" s="111"/>
      <c r="E70" s="112">
        <v>5</v>
      </c>
      <c r="F70" s="113" t="s">
        <v>12</v>
      </c>
      <c r="G70" s="112" t="s">
        <v>74</v>
      </c>
      <c r="H70" s="14" t="s">
        <v>15</v>
      </c>
      <c r="J70" s="36"/>
      <c r="K70" s="36"/>
      <c r="L70" s="36"/>
      <c r="M70" s="36"/>
      <c r="N70" s="36">
        <f t="shared" si="0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78</v>
      </c>
      <c r="B71" s="111"/>
      <c r="C71" s="111"/>
      <c r="E71" s="112">
        <v>5</v>
      </c>
      <c r="F71" s="113" t="s">
        <v>12</v>
      </c>
      <c r="G71" s="112" t="s">
        <v>79</v>
      </c>
      <c r="H71" s="14" t="s">
        <v>10</v>
      </c>
      <c r="J71" s="36"/>
      <c r="K71" s="36"/>
      <c r="L71" s="36"/>
      <c r="M71" s="36"/>
      <c r="N71" s="36">
        <f t="shared" si="0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80</v>
      </c>
      <c r="B72" s="111"/>
      <c r="C72" s="111"/>
      <c r="E72" s="112">
        <v>5</v>
      </c>
      <c r="F72" s="113" t="s">
        <v>12</v>
      </c>
      <c r="G72" s="112" t="s">
        <v>79</v>
      </c>
      <c r="H72" s="14" t="s">
        <v>15</v>
      </c>
      <c r="J72" s="36"/>
      <c r="K72" s="36"/>
      <c r="L72" s="36"/>
      <c r="M72" s="36"/>
      <c r="N72" s="36">
        <f t="shared" si="0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169</v>
      </c>
      <c r="B73" s="111"/>
      <c r="C73" s="111"/>
      <c r="E73" s="112">
        <v>5</v>
      </c>
      <c r="F73" s="113" t="s">
        <v>12</v>
      </c>
      <c r="G73" s="112" t="s">
        <v>79</v>
      </c>
      <c r="H73" s="15" t="s">
        <v>60</v>
      </c>
      <c r="J73" s="36"/>
      <c r="K73" s="36"/>
      <c r="L73" s="36"/>
      <c r="M73" s="36"/>
      <c r="N73" s="36">
        <f t="shared" si="0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170</v>
      </c>
      <c r="B74" s="111"/>
      <c r="C74" s="111"/>
      <c r="E74" s="112">
        <v>5</v>
      </c>
      <c r="F74" s="113" t="s">
        <v>12</v>
      </c>
      <c r="G74" s="112" t="s">
        <v>79</v>
      </c>
      <c r="H74" s="15" t="s">
        <v>19</v>
      </c>
      <c r="J74" s="36"/>
      <c r="K74" s="36"/>
      <c r="L74" s="36"/>
      <c r="M74" s="36"/>
      <c r="N74" s="36">
        <f t="shared" si="0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171</v>
      </c>
      <c r="B75" s="111"/>
      <c r="C75" s="111"/>
      <c r="E75" s="112">
        <v>5</v>
      </c>
      <c r="F75" s="113" t="s">
        <v>12</v>
      </c>
      <c r="G75" s="112" t="s">
        <v>79</v>
      </c>
      <c r="H75" s="15" t="s">
        <v>82</v>
      </c>
      <c r="J75" s="36"/>
      <c r="K75" s="36"/>
      <c r="L75" s="36"/>
      <c r="M75" s="36"/>
      <c r="N75" s="36">
        <f t="shared" si="0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81</v>
      </c>
      <c r="B76" s="111"/>
      <c r="C76" s="111"/>
      <c r="E76" s="112">
        <v>5</v>
      </c>
      <c r="F76" s="113" t="s">
        <v>12</v>
      </c>
      <c r="G76" s="112" t="s">
        <v>59</v>
      </c>
      <c r="H76" s="15" t="s">
        <v>82</v>
      </c>
      <c r="J76" s="36"/>
      <c r="K76" s="36"/>
      <c r="L76" s="36"/>
      <c r="M76" s="36"/>
      <c r="N76" s="36">
        <f t="shared" si="0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83</v>
      </c>
      <c r="B77" s="111"/>
      <c r="C77" s="111"/>
      <c r="E77" s="112">
        <v>5</v>
      </c>
      <c r="F77" s="113" t="s">
        <v>12</v>
      </c>
      <c r="G77" s="112" t="s">
        <v>84</v>
      </c>
      <c r="H77" s="15" t="s">
        <v>8</v>
      </c>
      <c r="J77" s="36"/>
      <c r="K77" s="36"/>
      <c r="L77" s="36"/>
      <c r="M77" s="36"/>
      <c r="N77" s="36">
        <f t="shared" si="0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85</v>
      </c>
      <c r="B78" s="111"/>
      <c r="C78" s="111"/>
      <c r="E78" s="112">
        <v>5</v>
      </c>
      <c r="F78" s="113" t="s">
        <v>12</v>
      </c>
      <c r="G78" s="112" t="s">
        <v>84</v>
      </c>
      <c r="H78" s="15" t="s">
        <v>10</v>
      </c>
      <c r="J78" s="36"/>
      <c r="K78" s="36"/>
      <c r="L78" s="36"/>
      <c r="M78" s="36"/>
      <c r="N78" s="36">
        <f t="shared" si="0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86</v>
      </c>
      <c r="B79" s="111"/>
      <c r="C79" s="111"/>
      <c r="E79" s="112">
        <v>5</v>
      </c>
      <c r="F79" s="113" t="s">
        <v>12</v>
      </c>
      <c r="G79" s="112" t="s">
        <v>84</v>
      </c>
      <c r="H79" s="15" t="s">
        <v>15</v>
      </c>
      <c r="J79" s="36"/>
      <c r="K79" s="36"/>
      <c r="L79" s="36"/>
      <c r="M79" s="36"/>
      <c r="N79" s="36">
        <f t="shared" si="0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172</v>
      </c>
      <c r="B80" s="111"/>
      <c r="C80" s="111"/>
      <c r="E80" s="112">
        <v>5</v>
      </c>
      <c r="F80" s="113" t="s">
        <v>12</v>
      </c>
      <c r="G80" s="112" t="s">
        <v>174</v>
      </c>
      <c r="H80" s="15" t="s">
        <v>8</v>
      </c>
      <c r="J80" s="36"/>
      <c r="K80" s="36"/>
      <c r="L80" s="36"/>
      <c r="M80" s="36"/>
      <c r="N80" s="36">
        <f t="shared" si="0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173</v>
      </c>
      <c r="B81" s="111"/>
      <c r="C81" s="111"/>
      <c r="E81" s="112">
        <v>5</v>
      </c>
      <c r="F81" s="113" t="s">
        <v>12</v>
      </c>
      <c r="G81" s="112" t="s">
        <v>174</v>
      </c>
      <c r="H81" s="15" t="s">
        <v>10</v>
      </c>
      <c r="J81" s="36"/>
      <c r="K81" s="36"/>
      <c r="L81" s="36"/>
      <c r="M81" s="36"/>
      <c r="N81" s="36">
        <f t="shared" si="0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87</v>
      </c>
      <c r="B82" s="111"/>
      <c r="C82" s="111"/>
      <c r="E82" s="112">
        <v>5</v>
      </c>
      <c r="F82" s="113" t="s">
        <v>12</v>
      </c>
      <c r="G82" s="112" t="s">
        <v>174</v>
      </c>
      <c r="H82" s="15" t="s">
        <v>15</v>
      </c>
      <c r="J82" s="36"/>
      <c r="K82" s="36"/>
      <c r="L82" s="36"/>
      <c r="M82" s="36"/>
      <c r="N82" s="36">
        <f t="shared" si="0"/>
        <v>0</v>
      </c>
      <c r="O82" s="36"/>
      <c r="P82" s="36"/>
      <c r="Q82" s="36"/>
      <c r="R82" s="36"/>
    </row>
    <row r="83" spans="1:18" s="7" customFormat="1" ht="12.75" customHeight="1" x14ac:dyDescent="0.2">
      <c r="A83" s="86" t="s">
        <v>260</v>
      </c>
      <c r="B83" s="111"/>
      <c r="C83" s="111"/>
      <c r="E83" s="112">
        <v>5</v>
      </c>
      <c r="F83" s="113" t="s">
        <v>12</v>
      </c>
      <c r="G83" s="134">
        <v>99</v>
      </c>
      <c r="H83" s="82">
        <v>990</v>
      </c>
      <c r="J83" s="36">
        <v>0</v>
      </c>
      <c r="K83" s="36"/>
      <c r="L83" s="36">
        <v>0</v>
      </c>
      <c r="M83" s="36"/>
      <c r="N83" s="36">
        <f t="shared" si="0"/>
        <v>75000</v>
      </c>
      <c r="O83" s="36"/>
      <c r="P83" s="36">
        <v>75000</v>
      </c>
      <c r="Q83" s="36"/>
      <c r="R83" s="36">
        <v>75000</v>
      </c>
    </row>
    <row r="84" spans="1:18" s="7" customFormat="1" ht="15" customHeight="1" x14ac:dyDescent="0.2">
      <c r="A84" s="323" t="s">
        <v>191</v>
      </c>
      <c r="B84" s="323"/>
      <c r="C84" s="323"/>
      <c r="J84" s="161">
        <f>SUM(J16:J83)</f>
        <v>14049708.83</v>
      </c>
      <c r="K84" s="162"/>
      <c r="L84" s="161">
        <f>SUM(L16:L83)</f>
        <v>2296745.3200000003</v>
      </c>
      <c r="M84" s="36"/>
      <c r="N84" s="161">
        <f>SUM(N16:N83)</f>
        <v>13384254.68</v>
      </c>
      <c r="O84" s="36"/>
      <c r="P84" s="161">
        <f>SUM(P16:P83)</f>
        <v>15681000</v>
      </c>
      <c r="Q84" s="36"/>
      <c r="R84" s="161">
        <f>SUM(R16:R83)</f>
        <v>15666200</v>
      </c>
    </row>
    <row r="85" spans="1:18" s="7" customFormat="1" ht="6" hidden="1" customHeight="1" x14ac:dyDescent="0.2">
      <c r="A85" s="20"/>
      <c r="B85" s="20"/>
      <c r="C85" s="20"/>
      <c r="J85" s="162"/>
      <c r="K85" s="162"/>
      <c r="L85" s="36"/>
      <c r="M85" s="36"/>
      <c r="N85" s="36"/>
      <c r="O85" s="36"/>
      <c r="P85" s="36"/>
      <c r="Q85" s="36"/>
      <c r="R85" s="36"/>
    </row>
    <row r="86" spans="1:18" s="7" customFormat="1" ht="12" hidden="1" customHeight="1" x14ac:dyDescent="0.2">
      <c r="A86" s="69" t="s">
        <v>189</v>
      </c>
      <c r="J86" s="36"/>
      <c r="K86" s="36"/>
      <c r="L86" s="36"/>
      <c r="M86" s="36"/>
      <c r="N86" s="36"/>
      <c r="O86" s="36"/>
      <c r="P86" s="36"/>
      <c r="Q86" s="36"/>
      <c r="R86" s="36"/>
    </row>
    <row r="87" spans="1:18" s="7" customFormat="1" ht="12" hidden="1" customHeight="1" x14ac:dyDescent="0.2">
      <c r="A87" s="86" t="s">
        <v>109</v>
      </c>
      <c r="E87" s="112">
        <v>5</v>
      </c>
      <c r="F87" s="113" t="s">
        <v>29</v>
      </c>
      <c r="G87" s="112" t="s">
        <v>7</v>
      </c>
      <c r="H87" s="14" t="s">
        <v>17</v>
      </c>
      <c r="J87" s="36"/>
      <c r="K87" s="36"/>
      <c r="L87" s="36"/>
      <c r="M87" s="36"/>
      <c r="N87" s="36"/>
      <c r="O87" s="36"/>
      <c r="P87" s="36"/>
      <c r="Q87" s="36"/>
      <c r="R87" s="36"/>
    </row>
    <row r="88" spans="1:18" s="7" customFormat="1" ht="12" hidden="1" customHeight="1" x14ac:dyDescent="0.2">
      <c r="A88" s="86" t="s">
        <v>180</v>
      </c>
      <c r="E88" s="112">
        <v>5</v>
      </c>
      <c r="F88" s="113" t="s">
        <v>29</v>
      </c>
      <c r="G88" s="112" t="s">
        <v>7</v>
      </c>
      <c r="H88" s="14" t="s">
        <v>64</v>
      </c>
      <c r="J88" s="36"/>
      <c r="K88" s="36"/>
      <c r="L88" s="36"/>
      <c r="M88" s="36"/>
      <c r="N88" s="36"/>
      <c r="O88" s="36"/>
      <c r="P88" s="36"/>
      <c r="Q88" s="36"/>
      <c r="R88" s="36"/>
    </row>
    <row r="89" spans="1:18" s="7" customFormat="1" ht="12" hidden="1" customHeight="1" x14ac:dyDescent="0.2">
      <c r="A89" s="86" t="s">
        <v>181</v>
      </c>
      <c r="E89" s="112">
        <v>5</v>
      </c>
      <c r="F89" s="113" t="s">
        <v>29</v>
      </c>
      <c r="G89" s="112" t="s">
        <v>7</v>
      </c>
      <c r="H89" s="16" t="s">
        <v>49</v>
      </c>
      <c r="J89" s="36"/>
      <c r="K89" s="36"/>
      <c r="L89" s="36"/>
      <c r="M89" s="36"/>
      <c r="N89" s="36"/>
      <c r="O89" s="36"/>
      <c r="P89" s="36"/>
      <c r="Q89" s="36"/>
      <c r="R89" s="36"/>
    </row>
    <row r="90" spans="1:18" s="7" customFormat="1" ht="12" hidden="1" customHeight="1" x14ac:dyDescent="0.2">
      <c r="A90" s="86" t="s">
        <v>181</v>
      </c>
      <c r="E90" s="112">
        <v>5</v>
      </c>
      <c r="F90" s="113" t="s">
        <v>29</v>
      </c>
      <c r="G90" s="112" t="s">
        <v>7</v>
      </c>
      <c r="H90" s="16" t="s">
        <v>49</v>
      </c>
      <c r="J90" s="36"/>
      <c r="K90" s="36"/>
      <c r="L90" s="36"/>
      <c r="M90" s="36"/>
      <c r="N90" s="36"/>
      <c r="O90" s="36"/>
      <c r="P90" s="36"/>
      <c r="Q90" s="36"/>
      <c r="R90" s="36"/>
    </row>
    <row r="91" spans="1:18" s="7" customFormat="1" ht="12" hidden="1" customHeight="1" x14ac:dyDescent="0.2">
      <c r="A91" s="86" t="s">
        <v>182</v>
      </c>
      <c r="E91" s="112">
        <v>5</v>
      </c>
      <c r="F91" s="113" t="s">
        <v>29</v>
      </c>
      <c r="G91" s="112" t="s">
        <v>7</v>
      </c>
      <c r="H91" s="14" t="s">
        <v>10</v>
      </c>
      <c r="J91" s="36"/>
      <c r="K91" s="36"/>
      <c r="L91" s="36"/>
      <c r="M91" s="36"/>
      <c r="N91" s="36"/>
      <c r="O91" s="36"/>
      <c r="P91" s="36"/>
      <c r="Q91" s="36"/>
      <c r="R91" s="36"/>
    </row>
    <row r="92" spans="1:18" s="7" customFormat="1" ht="12" hidden="1" customHeight="1" x14ac:dyDescent="0.2">
      <c r="A92" s="86" t="s">
        <v>181</v>
      </c>
      <c r="E92" s="112">
        <v>5</v>
      </c>
      <c r="F92" s="113" t="s">
        <v>29</v>
      </c>
      <c r="G92" s="112" t="s">
        <v>7</v>
      </c>
      <c r="H92" s="16" t="s">
        <v>49</v>
      </c>
      <c r="J92" s="36"/>
      <c r="K92" s="36"/>
      <c r="L92" s="36"/>
      <c r="M92" s="36"/>
      <c r="N92" s="36"/>
      <c r="O92" s="36"/>
      <c r="P92" s="36"/>
      <c r="Q92" s="36"/>
      <c r="R92" s="36"/>
    </row>
    <row r="93" spans="1:18" s="7" customFormat="1" ht="12" hidden="1" customHeight="1" x14ac:dyDescent="0.2">
      <c r="A93" s="86" t="s">
        <v>183</v>
      </c>
      <c r="E93" s="112">
        <v>5</v>
      </c>
      <c r="F93" s="113" t="s">
        <v>29</v>
      </c>
      <c r="G93" s="112" t="s">
        <v>7</v>
      </c>
      <c r="H93" s="14" t="s">
        <v>8</v>
      </c>
      <c r="J93" s="36"/>
      <c r="K93" s="36"/>
      <c r="L93" s="36"/>
      <c r="M93" s="36"/>
      <c r="N93" s="36"/>
      <c r="O93" s="36"/>
      <c r="P93" s="36"/>
      <c r="Q93" s="36"/>
      <c r="R93" s="36"/>
    </row>
    <row r="94" spans="1:18" s="7" customFormat="1" ht="12" hidden="1" customHeight="1" x14ac:dyDescent="0.2">
      <c r="A94" s="86" t="s">
        <v>184</v>
      </c>
      <c r="E94" s="112">
        <v>5</v>
      </c>
      <c r="F94" s="113" t="s">
        <v>29</v>
      </c>
      <c r="G94" s="112" t="s">
        <v>7</v>
      </c>
      <c r="H94" s="14" t="s">
        <v>15</v>
      </c>
      <c r="J94" s="36"/>
      <c r="K94" s="36"/>
      <c r="L94" s="36"/>
      <c r="M94" s="36"/>
      <c r="N94" s="36"/>
      <c r="O94" s="36"/>
      <c r="P94" s="36"/>
      <c r="Q94" s="36"/>
      <c r="R94" s="36"/>
    </row>
    <row r="95" spans="1:18" s="7" customFormat="1" ht="18.95" hidden="1" customHeight="1" x14ac:dyDescent="0.2">
      <c r="A95" s="63" t="s">
        <v>185</v>
      </c>
      <c r="J95" s="171">
        <f>SUM(J87:J94)</f>
        <v>0</v>
      </c>
      <c r="K95" s="172"/>
      <c r="L95" s="171">
        <f>SUM(L87:L94)</f>
        <v>0</v>
      </c>
      <c r="M95" s="172"/>
      <c r="N95" s="171">
        <f>SUM(N87:N94)</f>
        <v>0</v>
      </c>
      <c r="O95" s="172"/>
      <c r="P95" s="171">
        <f>SUM(P87:P94)</f>
        <v>0</v>
      </c>
      <c r="Q95" s="172"/>
      <c r="R95" s="171">
        <f>SUM(R87:R94)</f>
        <v>0</v>
      </c>
    </row>
    <row r="96" spans="1:18" s="7" customFormat="1" ht="6" customHeight="1" x14ac:dyDescent="0.2">
      <c r="J96" s="36"/>
      <c r="K96" s="36"/>
      <c r="L96" s="36"/>
      <c r="M96" s="36"/>
      <c r="N96" s="36"/>
      <c r="O96" s="36"/>
      <c r="P96" s="36"/>
      <c r="Q96" s="36"/>
      <c r="R96" s="36"/>
    </row>
    <row r="97" spans="1:18" s="7" customFormat="1" ht="12.75" customHeight="1" x14ac:dyDescent="0.2">
      <c r="A97" s="215" t="s">
        <v>190</v>
      </c>
      <c r="B97" s="216"/>
      <c r="C97" s="216"/>
      <c r="D97" s="217"/>
      <c r="E97" s="217"/>
      <c r="F97" s="217"/>
      <c r="G97" s="217"/>
      <c r="H97" s="217"/>
      <c r="I97" s="217"/>
      <c r="J97" s="218"/>
      <c r="K97" s="218"/>
      <c r="L97" s="218"/>
      <c r="M97" s="218"/>
      <c r="N97" s="218"/>
      <c r="O97" s="218"/>
      <c r="P97" s="218"/>
      <c r="Q97" s="218"/>
      <c r="R97" s="219"/>
    </row>
    <row r="98" spans="1:18" s="7" customFormat="1" ht="12.75" hidden="1" customHeight="1" x14ac:dyDescent="0.2">
      <c r="A98" s="220" t="s">
        <v>89</v>
      </c>
      <c r="B98" s="24"/>
      <c r="C98" s="24"/>
      <c r="J98" s="36"/>
      <c r="K98" s="36"/>
      <c r="L98" s="36"/>
      <c r="M98" s="36"/>
      <c r="N98" s="36"/>
      <c r="O98" s="36"/>
      <c r="P98" s="36"/>
      <c r="Q98" s="36"/>
      <c r="R98" s="221"/>
    </row>
    <row r="99" spans="1:18" s="7" customFormat="1" ht="12.75" hidden="1" customHeight="1" x14ac:dyDescent="0.2">
      <c r="A99" s="222" t="s">
        <v>90</v>
      </c>
      <c r="B99" s="9"/>
      <c r="C99" s="9"/>
      <c r="E99" s="112">
        <v>1</v>
      </c>
      <c r="F99" s="113" t="s">
        <v>12</v>
      </c>
      <c r="G99" s="112" t="s">
        <v>54</v>
      </c>
      <c r="H99" s="114" t="s">
        <v>10</v>
      </c>
      <c r="J99" s="36"/>
      <c r="K99" s="36"/>
      <c r="L99" s="36"/>
      <c r="M99" s="36"/>
      <c r="N99" s="36"/>
      <c r="O99" s="36"/>
      <c r="P99" s="36"/>
      <c r="Q99" s="36"/>
      <c r="R99" s="221"/>
    </row>
    <row r="100" spans="1:18" s="7" customFormat="1" ht="12.75" hidden="1" customHeight="1" x14ac:dyDescent="0.2">
      <c r="A100" s="223" t="s">
        <v>92</v>
      </c>
      <c r="B100" s="111"/>
      <c r="C100" s="111"/>
      <c r="E100" s="112">
        <v>1</v>
      </c>
      <c r="F100" s="113" t="s">
        <v>93</v>
      </c>
      <c r="G100" s="112" t="s">
        <v>7</v>
      </c>
      <c r="H100" s="112" t="s">
        <v>8</v>
      </c>
      <c r="J100" s="36"/>
      <c r="K100" s="36"/>
      <c r="L100" s="36"/>
      <c r="M100" s="36"/>
      <c r="N100" s="36"/>
      <c r="O100" s="36"/>
      <c r="P100" s="36"/>
      <c r="Q100" s="36"/>
      <c r="R100" s="221"/>
    </row>
    <row r="101" spans="1:18" s="7" customFormat="1" ht="12.75" hidden="1" customHeight="1" x14ac:dyDescent="0.2">
      <c r="A101" s="223" t="s">
        <v>94</v>
      </c>
      <c r="B101" s="111"/>
      <c r="C101" s="111"/>
      <c r="E101" s="112">
        <v>1</v>
      </c>
      <c r="F101" s="113" t="s">
        <v>93</v>
      </c>
      <c r="G101" s="112" t="s">
        <v>34</v>
      </c>
      <c r="H101" s="112" t="s">
        <v>8</v>
      </c>
      <c r="J101" s="36"/>
      <c r="K101" s="36"/>
      <c r="L101" s="36"/>
      <c r="M101" s="36"/>
      <c r="N101" s="36"/>
      <c r="O101" s="36"/>
      <c r="P101" s="36"/>
      <c r="Q101" s="36"/>
      <c r="R101" s="221"/>
    </row>
    <row r="102" spans="1:18" s="7" customFormat="1" ht="12.75" hidden="1" customHeight="1" x14ac:dyDescent="0.2">
      <c r="A102" s="223" t="s">
        <v>95</v>
      </c>
      <c r="B102" s="116"/>
      <c r="C102" s="116"/>
      <c r="E102" s="112">
        <v>1</v>
      </c>
      <c r="F102" s="113" t="s">
        <v>93</v>
      </c>
      <c r="G102" s="112" t="s">
        <v>34</v>
      </c>
      <c r="H102" s="112" t="s">
        <v>49</v>
      </c>
      <c r="J102" s="36"/>
      <c r="K102" s="36"/>
      <c r="L102" s="36"/>
      <c r="M102" s="36"/>
      <c r="N102" s="36"/>
      <c r="O102" s="36"/>
      <c r="P102" s="36"/>
      <c r="Q102" s="36"/>
      <c r="R102" s="221"/>
    </row>
    <row r="103" spans="1:18" s="7" customFormat="1" ht="12.75" hidden="1" customHeight="1" x14ac:dyDescent="0.2">
      <c r="A103" s="223" t="s">
        <v>96</v>
      </c>
      <c r="B103" s="116"/>
      <c r="C103" s="116"/>
      <c r="D103" s="113"/>
      <c r="E103" s="112">
        <v>1</v>
      </c>
      <c r="F103" s="113" t="s">
        <v>93</v>
      </c>
      <c r="G103" s="112" t="s">
        <v>54</v>
      </c>
      <c r="H103" s="112" t="s">
        <v>10</v>
      </c>
      <c r="J103" s="36"/>
      <c r="K103" s="36"/>
      <c r="L103" s="36"/>
      <c r="M103" s="36"/>
      <c r="N103" s="36"/>
      <c r="O103" s="36"/>
      <c r="P103" s="36"/>
      <c r="Q103" s="36"/>
      <c r="R103" s="221"/>
    </row>
    <row r="104" spans="1:18" s="7" customFormat="1" ht="12.75" hidden="1" customHeight="1" x14ac:dyDescent="0.2">
      <c r="A104" s="223" t="s">
        <v>97</v>
      </c>
      <c r="B104" s="111"/>
      <c r="C104" s="111"/>
      <c r="E104" s="112">
        <v>1</v>
      </c>
      <c r="F104" s="113" t="s">
        <v>93</v>
      </c>
      <c r="G104" s="112" t="s">
        <v>93</v>
      </c>
      <c r="H104" s="112" t="s">
        <v>8</v>
      </c>
      <c r="J104" s="36"/>
      <c r="K104" s="36"/>
      <c r="L104" s="36"/>
      <c r="M104" s="36"/>
      <c r="N104" s="36"/>
      <c r="O104" s="36"/>
      <c r="P104" s="36"/>
      <c r="Q104" s="36"/>
      <c r="R104" s="221"/>
    </row>
    <row r="105" spans="1:18" s="7" customFormat="1" ht="12.75" hidden="1" customHeight="1" x14ac:dyDescent="0.2">
      <c r="A105" s="223" t="s">
        <v>98</v>
      </c>
      <c r="B105" s="116"/>
      <c r="C105" s="116"/>
      <c r="E105" s="112">
        <v>1</v>
      </c>
      <c r="F105" s="113" t="s">
        <v>93</v>
      </c>
      <c r="G105" s="112" t="s">
        <v>54</v>
      </c>
      <c r="H105" s="112" t="s">
        <v>15</v>
      </c>
      <c r="J105" s="36"/>
      <c r="K105" s="36"/>
      <c r="L105" s="36"/>
      <c r="M105" s="36"/>
      <c r="N105" s="36"/>
      <c r="O105" s="36"/>
      <c r="P105" s="36"/>
      <c r="Q105" s="36"/>
      <c r="R105" s="221"/>
    </row>
    <row r="106" spans="1:18" s="7" customFormat="1" ht="12.75" hidden="1" customHeight="1" x14ac:dyDescent="0.2">
      <c r="A106" s="223" t="s">
        <v>99</v>
      </c>
      <c r="B106" s="116"/>
      <c r="C106" s="116"/>
      <c r="D106" s="113"/>
      <c r="E106" s="112">
        <v>1</v>
      </c>
      <c r="F106" s="113" t="s">
        <v>93</v>
      </c>
      <c r="G106" s="112" t="s">
        <v>93</v>
      </c>
      <c r="H106" s="112" t="s">
        <v>10</v>
      </c>
      <c r="J106" s="36"/>
      <c r="K106" s="36"/>
      <c r="L106" s="36"/>
      <c r="M106" s="36"/>
      <c r="N106" s="36"/>
      <c r="O106" s="36"/>
      <c r="P106" s="36"/>
      <c r="Q106" s="36"/>
      <c r="R106" s="221"/>
    </row>
    <row r="107" spans="1:18" s="7" customFormat="1" ht="12.75" hidden="1" customHeight="1" x14ac:dyDescent="0.2">
      <c r="A107" s="223" t="s">
        <v>100</v>
      </c>
      <c r="B107" s="111"/>
      <c r="C107" s="111"/>
      <c r="E107" s="112">
        <v>1</v>
      </c>
      <c r="F107" s="113" t="s">
        <v>93</v>
      </c>
      <c r="G107" s="112" t="s">
        <v>54</v>
      </c>
      <c r="H107" s="112" t="s">
        <v>19</v>
      </c>
      <c r="J107" s="36"/>
      <c r="K107" s="36"/>
      <c r="L107" s="36"/>
      <c r="M107" s="36"/>
      <c r="N107" s="36"/>
      <c r="O107" s="36"/>
      <c r="P107" s="36"/>
      <c r="Q107" s="36"/>
      <c r="R107" s="221"/>
    </row>
    <row r="108" spans="1:18" s="7" customFormat="1" ht="12.75" hidden="1" customHeight="1" x14ac:dyDescent="0.2">
      <c r="A108" s="223" t="s">
        <v>175</v>
      </c>
      <c r="B108" s="111"/>
      <c r="C108" s="111"/>
      <c r="E108" s="112">
        <v>1</v>
      </c>
      <c r="F108" s="113" t="s">
        <v>93</v>
      </c>
      <c r="G108" s="112" t="s">
        <v>54</v>
      </c>
      <c r="H108" s="112" t="s">
        <v>82</v>
      </c>
      <c r="J108" s="36"/>
      <c r="K108" s="36"/>
      <c r="L108" s="36"/>
      <c r="M108" s="36"/>
      <c r="N108" s="36"/>
      <c r="O108" s="36"/>
      <c r="P108" s="36"/>
      <c r="Q108" s="36"/>
      <c r="R108" s="221"/>
    </row>
    <row r="109" spans="1:18" s="7" customFormat="1" ht="12.75" hidden="1" customHeight="1" x14ac:dyDescent="0.2">
      <c r="A109" s="223" t="s">
        <v>176</v>
      </c>
      <c r="B109" s="111"/>
      <c r="C109" s="111"/>
      <c r="E109" s="112">
        <v>1</v>
      </c>
      <c r="F109" s="113" t="s">
        <v>93</v>
      </c>
      <c r="G109" s="112" t="s">
        <v>54</v>
      </c>
      <c r="H109" s="112" t="s">
        <v>45</v>
      </c>
      <c r="J109" s="36"/>
      <c r="K109" s="36"/>
      <c r="L109" s="36"/>
      <c r="M109" s="36"/>
      <c r="N109" s="36"/>
      <c r="O109" s="36"/>
      <c r="P109" s="36"/>
      <c r="Q109" s="36"/>
      <c r="R109" s="221"/>
    </row>
    <row r="110" spans="1:18" s="7" customFormat="1" ht="12.75" hidden="1" customHeight="1" x14ac:dyDescent="0.2">
      <c r="A110" s="223" t="s">
        <v>177</v>
      </c>
      <c r="B110" s="111"/>
      <c r="C110" s="111"/>
      <c r="E110" s="112">
        <v>1</v>
      </c>
      <c r="F110" s="113" t="s">
        <v>93</v>
      </c>
      <c r="G110" s="112" t="s">
        <v>54</v>
      </c>
      <c r="H110" s="112" t="s">
        <v>146</v>
      </c>
      <c r="J110" s="36"/>
      <c r="K110" s="36"/>
      <c r="L110" s="36"/>
      <c r="M110" s="36"/>
      <c r="N110" s="36"/>
      <c r="O110" s="36"/>
      <c r="P110" s="36"/>
      <c r="Q110" s="36"/>
      <c r="R110" s="221"/>
    </row>
    <row r="111" spans="1:18" s="7" customFormat="1" ht="12.75" hidden="1" customHeight="1" x14ac:dyDescent="0.2">
      <c r="A111" s="223" t="s">
        <v>101</v>
      </c>
      <c r="B111" s="111"/>
      <c r="C111" s="111"/>
      <c r="E111" s="112">
        <v>1</v>
      </c>
      <c r="F111" s="113" t="s">
        <v>93</v>
      </c>
      <c r="G111" s="112" t="s">
        <v>54</v>
      </c>
      <c r="H111" s="112" t="s">
        <v>102</v>
      </c>
      <c r="J111" s="36"/>
      <c r="K111" s="36"/>
      <c r="L111" s="36"/>
      <c r="M111" s="36"/>
      <c r="N111" s="36"/>
      <c r="O111" s="36"/>
      <c r="P111" s="36"/>
      <c r="Q111" s="36"/>
      <c r="R111" s="221"/>
    </row>
    <row r="112" spans="1:18" s="7" customFormat="1" ht="12.75" hidden="1" customHeight="1" x14ac:dyDescent="0.2">
      <c r="A112" s="223" t="s">
        <v>103</v>
      </c>
      <c r="B112" s="111"/>
      <c r="C112" s="111"/>
      <c r="E112" s="112">
        <v>1</v>
      </c>
      <c r="F112" s="113" t="s">
        <v>93</v>
      </c>
      <c r="G112" s="112" t="s">
        <v>54</v>
      </c>
      <c r="H112" s="112" t="s">
        <v>24</v>
      </c>
      <c r="J112" s="36"/>
      <c r="K112" s="36"/>
      <c r="L112" s="36"/>
      <c r="M112" s="36"/>
      <c r="N112" s="36"/>
      <c r="O112" s="36"/>
      <c r="P112" s="36"/>
      <c r="Q112" s="36"/>
      <c r="R112" s="221"/>
    </row>
    <row r="113" spans="1:18" s="7" customFormat="1" ht="12.75" hidden="1" customHeight="1" x14ac:dyDescent="0.2">
      <c r="A113" s="223" t="s">
        <v>104</v>
      </c>
      <c r="B113" s="111"/>
      <c r="C113" s="111"/>
      <c r="E113" s="112">
        <v>1</v>
      </c>
      <c r="F113" s="113" t="s">
        <v>93</v>
      </c>
      <c r="G113" s="112" t="s">
        <v>54</v>
      </c>
      <c r="H113" s="112" t="s">
        <v>28</v>
      </c>
      <c r="J113" s="36"/>
      <c r="K113" s="36"/>
      <c r="L113" s="36"/>
      <c r="M113" s="36"/>
      <c r="N113" s="36"/>
      <c r="O113" s="36"/>
      <c r="P113" s="36"/>
      <c r="Q113" s="36"/>
      <c r="R113" s="221"/>
    </row>
    <row r="114" spans="1:18" s="7" customFormat="1" ht="12.75" customHeight="1" x14ac:dyDescent="0.2">
      <c r="A114" s="222" t="s">
        <v>90</v>
      </c>
      <c r="B114" s="111"/>
      <c r="C114" s="111"/>
      <c r="E114" s="112">
        <v>1</v>
      </c>
      <c r="F114" s="113" t="s">
        <v>12</v>
      </c>
      <c r="G114" s="112" t="s">
        <v>54</v>
      </c>
      <c r="H114" s="112" t="s">
        <v>10</v>
      </c>
      <c r="J114" s="36">
        <v>0</v>
      </c>
      <c r="K114" s="36"/>
      <c r="L114" s="36">
        <v>0</v>
      </c>
      <c r="M114" s="36"/>
      <c r="N114" s="36">
        <f>P114-L114</f>
        <v>100000</v>
      </c>
      <c r="O114" s="36"/>
      <c r="P114" s="36">
        <v>100000</v>
      </c>
      <c r="Q114" s="36"/>
      <c r="R114" s="221"/>
    </row>
    <row r="115" spans="1:18" s="7" customFormat="1" ht="12.75" hidden="1" customHeight="1" x14ac:dyDescent="0.2">
      <c r="A115" s="223" t="s">
        <v>105</v>
      </c>
      <c r="B115" s="111"/>
      <c r="C115" s="111"/>
      <c r="D115" s="113"/>
      <c r="E115" s="112">
        <v>1</v>
      </c>
      <c r="F115" s="113" t="s">
        <v>93</v>
      </c>
      <c r="G115" s="112" t="s">
        <v>54</v>
      </c>
      <c r="H115" s="114" t="s">
        <v>49</v>
      </c>
      <c r="J115" s="36">
        <v>0</v>
      </c>
      <c r="K115" s="36"/>
      <c r="L115" s="36"/>
      <c r="M115" s="36"/>
      <c r="N115" s="36" t="s">
        <v>281</v>
      </c>
      <c r="O115" s="36"/>
      <c r="P115" s="36"/>
      <c r="Q115" s="36"/>
      <c r="R115" s="221"/>
    </row>
    <row r="116" spans="1:18" s="7" customFormat="1" ht="12.75" hidden="1" customHeight="1" x14ac:dyDescent="0.2">
      <c r="A116" s="223" t="s">
        <v>106</v>
      </c>
      <c r="B116" s="111"/>
      <c r="C116" s="111"/>
      <c r="D116" s="113"/>
      <c r="E116" s="112">
        <v>1</v>
      </c>
      <c r="F116" s="113" t="s">
        <v>93</v>
      </c>
      <c r="G116" s="112" t="s">
        <v>67</v>
      </c>
      <c r="H116" s="112" t="s">
        <v>8</v>
      </c>
      <c r="J116" s="36"/>
      <c r="K116" s="36"/>
      <c r="L116" s="36"/>
      <c r="M116" s="36"/>
      <c r="N116" s="36"/>
      <c r="O116" s="36"/>
      <c r="P116" s="36"/>
      <c r="Q116" s="36"/>
      <c r="R116" s="221"/>
    </row>
    <row r="117" spans="1:18" s="7" customFormat="1" ht="12.75" customHeight="1" x14ac:dyDescent="0.2">
      <c r="A117" s="223" t="s">
        <v>107</v>
      </c>
      <c r="B117" s="111"/>
      <c r="C117" s="111"/>
      <c r="D117" s="113"/>
      <c r="E117" s="112">
        <v>1</v>
      </c>
      <c r="F117" s="113" t="s">
        <v>93</v>
      </c>
      <c r="G117" s="112" t="s">
        <v>59</v>
      </c>
      <c r="H117" s="114" t="s">
        <v>49</v>
      </c>
      <c r="J117" s="36">
        <v>0</v>
      </c>
      <c r="K117" s="36"/>
      <c r="L117" s="36"/>
      <c r="M117" s="36"/>
      <c r="N117" s="36">
        <f>P117-L117</f>
        <v>0</v>
      </c>
      <c r="O117" s="36"/>
      <c r="P117" s="36"/>
      <c r="Q117" s="36"/>
      <c r="R117" s="221">
        <v>200000</v>
      </c>
    </row>
    <row r="118" spans="1:18" s="7" customFormat="1" ht="12.75" hidden="1" customHeight="1" x14ac:dyDescent="0.2">
      <c r="A118" s="223" t="s">
        <v>178</v>
      </c>
      <c r="B118" s="111"/>
      <c r="C118" s="111"/>
      <c r="D118" s="113"/>
      <c r="E118" s="112">
        <v>1</v>
      </c>
      <c r="F118" s="113" t="s">
        <v>93</v>
      </c>
      <c r="G118" s="112" t="s">
        <v>29</v>
      </c>
      <c r="H118" s="112" t="s">
        <v>8</v>
      </c>
      <c r="J118" s="36"/>
      <c r="K118" s="36"/>
      <c r="L118" s="36"/>
      <c r="M118" s="36"/>
      <c r="N118" s="36"/>
      <c r="O118" s="36"/>
      <c r="P118" s="36"/>
      <c r="Q118" s="36"/>
      <c r="R118" s="221"/>
    </row>
    <row r="119" spans="1:18" s="7" customFormat="1" ht="12.75" hidden="1" customHeight="1" x14ac:dyDescent="0.2">
      <c r="A119" s="223" t="s">
        <v>179</v>
      </c>
      <c r="B119" s="111"/>
      <c r="C119" s="111"/>
      <c r="D119" s="113"/>
      <c r="E119" s="112">
        <v>1</v>
      </c>
      <c r="F119" s="113" t="s">
        <v>93</v>
      </c>
      <c r="G119" s="112" t="s">
        <v>29</v>
      </c>
      <c r="H119" s="112" t="s">
        <v>45</v>
      </c>
      <c r="J119" s="36"/>
      <c r="K119" s="36"/>
      <c r="L119" s="36"/>
      <c r="M119" s="36"/>
      <c r="N119" s="36"/>
      <c r="O119" s="36"/>
      <c r="P119" s="36"/>
      <c r="Q119" s="36"/>
      <c r="R119" s="221"/>
    </row>
    <row r="120" spans="1:18" s="27" customFormat="1" ht="18.95" customHeight="1" x14ac:dyDescent="0.2">
      <c r="A120" s="224" t="s">
        <v>108</v>
      </c>
      <c r="B120" s="26"/>
      <c r="C120" s="26"/>
      <c r="J120" s="21">
        <f>SUM(J100:J119)</f>
        <v>0</v>
      </c>
      <c r="K120" s="23"/>
      <c r="L120" s="21">
        <f>SUM(L100:L115)</f>
        <v>0</v>
      </c>
      <c r="M120" s="172"/>
      <c r="N120" s="21">
        <f>SUM(N100:N119)</f>
        <v>100000</v>
      </c>
      <c r="O120" s="172"/>
      <c r="P120" s="21">
        <f>SUM(P100:P119)</f>
        <v>100000</v>
      </c>
      <c r="Q120" s="172"/>
      <c r="R120" s="225">
        <f>SUM(R100:R119)</f>
        <v>200000</v>
      </c>
    </row>
    <row r="121" spans="1:18" s="7" customFormat="1" ht="6" customHeight="1" x14ac:dyDescent="0.2">
      <c r="A121" s="226"/>
      <c r="R121" s="227"/>
    </row>
    <row r="122" spans="1:18" s="7" customFormat="1" ht="20.100000000000001" customHeight="1" x14ac:dyDescent="0.2">
      <c r="A122" s="228" t="s">
        <v>110</v>
      </c>
      <c r="B122" s="229"/>
      <c r="C122" s="229"/>
      <c r="D122" s="129"/>
      <c r="E122" s="129"/>
      <c r="F122" s="129"/>
      <c r="G122" s="129"/>
      <c r="H122" s="129"/>
      <c r="I122" s="129"/>
      <c r="J122" s="230">
        <f>J84+J120</f>
        <v>14049708.83</v>
      </c>
      <c r="K122" s="230"/>
      <c r="L122" s="230">
        <f>L84+L120</f>
        <v>2296745.3200000003</v>
      </c>
      <c r="M122" s="129"/>
      <c r="N122" s="230">
        <f>N84+N120</f>
        <v>13484254.68</v>
      </c>
      <c r="O122" s="129"/>
      <c r="P122" s="230">
        <f>P84+P120</f>
        <v>15781000</v>
      </c>
      <c r="Q122" s="129"/>
      <c r="R122" s="231">
        <f>R84+R120</f>
        <v>15866200</v>
      </c>
    </row>
    <row r="123" spans="1:18" s="7" customFormat="1" ht="20.100000000000001" customHeight="1" x14ac:dyDescent="0.2">
      <c r="A123" s="11"/>
      <c r="B123" s="28"/>
      <c r="C123" s="28"/>
      <c r="J123" s="23"/>
      <c r="K123" s="23"/>
      <c r="L123" s="23"/>
      <c r="N123" s="23"/>
      <c r="P123" s="23"/>
      <c r="R123" s="23"/>
    </row>
    <row r="124" spans="1:18" s="7" customFormat="1" x14ac:dyDescent="0.2">
      <c r="A124" s="31"/>
      <c r="B124" s="31"/>
      <c r="C124" s="31"/>
      <c r="D124" s="34"/>
      <c r="E124" s="31"/>
      <c r="F124" s="31"/>
      <c r="H124" s="35"/>
      <c r="I124" s="35"/>
      <c r="J124" s="35"/>
      <c r="K124" s="35"/>
      <c r="L124" s="35"/>
      <c r="M124" s="35"/>
    </row>
    <row r="125" spans="1:18" x14ac:dyDescent="0.2">
      <c r="A125" s="321" t="s">
        <v>133</v>
      </c>
      <c r="B125" s="321"/>
      <c r="C125" s="321"/>
      <c r="D125" s="33"/>
      <c r="E125" s="32"/>
      <c r="G125" s="31"/>
      <c r="I125" s="31"/>
      <c r="J125" s="321" t="s">
        <v>276</v>
      </c>
      <c r="K125" s="321"/>
      <c r="L125" s="321"/>
      <c r="M125" s="47"/>
      <c r="N125" s="49"/>
      <c r="O125" s="49"/>
      <c r="P125" s="48" t="s">
        <v>135</v>
      </c>
    </row>
    <row r="126" spans="1:18" x14ac:dyDescent="0.2">
      <c r="A126" s="50"/>
      <c r="D126" s="33"/>
      <c r="E126" s="51"/>
      <c r="G126" s="31"/>
      <c r="I126" s="31"/>
      <c r="J126" s="30"/>
      <c r="M126" s="30"/>
      <c r="N126" s="36"/>
      <c r="O126" s="36"/>
      <c r="P126" s="51"/>
    </row>
    <row r="127" spans="1:18" x14ac:dyDescent="0.2">
      <c r="A127" s="52"/>
      <c r="D127" s="31"/>
      <c r="E127" s="53"/>
      <c r="G127" s="31"/>
      <c r="I127" s="31"/>
      <c r="J127" s="31"/>
      <c r="M127" s="31"/>
      <c r="P127" s="53"/>
    </row>
    <row r="128" spans="1:18" x14ac:dyDescent="0.2">
      <c r="A128" s="322" t="s">
        <v>348</v>
      </c>
      <c r="B128" s="322"/>
      <c r="C128" s="322"/>
      <c r="D128" s="55"/>
      <c r="E128" s="56"/>
      <c r="G128" s="31"/>
      <c r="I128" s="31"/>
      <c r="J128" s="322" t="s">
        <v>291</v>
      </c>
      <c r="K128" s="322"/>
      <c r="L128" s="322"/>
      <c r="M128" s="57"/>
      <c r="N128" s="59"/>
      <c r="O128" s="59"/>
      <c r="P128" s="58" t="s">
        <v>137</v>
      </c>
    </row>
    <row r="129" spans="1:16" x14ac:dyDescent="0.2">
      <c r="A129" s="321" t="s">
        <v>349</v>
      </c>
      <c r="B129" s="321"/>
      <c r="C129" s="321"/>
      <c r="D129" s="31"/>
      <c r="E129" s="32"/>
      <c r="G129" s="31"/>
      <c r="I129" s="31"/>
      <c r="J129" s="321" t="s">
        <v>269</v>
      </c>
      <c r="K129" s="321"/>
      <c r="L129" s="321"/>
      <c r="M129" s="33"/>
      <c r="N129" s="35"/>
      <c r="O129" s="35"/>
      <c r="P12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69" activePane="bottomRight" state="frozen"/>
      <selection pane="bottomRight" activeCell="A40" sqref="A40:XFD61"/>
      <pageMargins left="0.75" right="0.5" top="1" bottom="0.7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70" activePane="bottomRight" state="frozen"/>
      <selection pane="bottomRight" activeCell="L116" sqref="L116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A116" sqref="A116:XFD116"/>
      <pageMargins left="0.75" right="0.5" top="1" bottom="0.7" header="0.75" footer="0.4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67" activePane="bottomRight" state="frozen"/>
      <selection pane="bottomRight" activeCell="R124" sqref="R124"/>
      <pageMargins left="0.75" right="0.5" top="1" bottom="0.7" header="0.75" footer="0.4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69" activePane="bottomRight" state="frozen"/>
      <selection pane="bottomRight" activeCell="R117" sqref="R117"/>
      <pageMargins left="0.75" right="0.5" top="1" bottom="0.7" header="0.75" footer="0.4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J125:L125"/>
    <mergeCell ref="J128:L128"/>
    <mergeCell ref="J129:L129"/>
    <mergeCell ref="A13:C13"/>
    <mergeCell ref="E13:H13"/>
    <mergeCell ref="A84:C84"/>
    <mergeCell ref="A125:C125"/>
    <mergeCell ref="A128:C128"/>
    <mergeCell ref="A129:C129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0.7" header="0.75" footer="0.4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7"/>
  <sheetViews>
    <sheetView view="pageBreakPreview" zoomScaleNormal="85" zoomScaleSheetLayoutView="100" workbookViewId="0">
      <pane xSplit="1" ySplit="14" topLeftCell="B108" activePane="bottomRight" state="frozen"/>
      <selection pane="topRight" activeCell="B1" sqref="B1"/>
      <selection pane="bottomLeft" activeCell="A15" sqref="A15"/>
      <selection pane="bottomRight" activeCell="F119" sqref="F11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229</v>
      </c>
      <c r="H4" s="3"/>
      <c r="I4" s="3"/>
      <c r="R4" s="78" t="s">
        <v>230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227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72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86" t="s">
        <v>37</v>
      </c>
      <c r="B16" s="111"/>
      <c r="C16" s="111"/>
      <c r="D16" s="112"/>
      <c r="E16" s="112">
        <v>5</v>
      </c>
      <c r="F16" s="113" t="s">
        <v>12</v>
      </c>
      <c r="G16" s="112" t="s">
        <v>7</v>
      </c>
      <c r="H16" s="112" t="s">
        <v>8</v>
      </c>
      <c r="J16" s="36">
        <v>15385</v>
      </c>
      <c r="K16" s="36"/>
      <c r="L16" s="36">
        <v>0</v>
      </c>
      <c r="M16" s="36"/>
      <c r="N16" s="36">
        <f>P16-L16</f>
        <v>30000</v>
      </c>
      <c r="O16" s="36"/>
      <c r="P16" s="36">
        <v>30000</v>
      </c>
      <c r="Q16" s="36"/>
      <c r="R16" s="36">
        <v>30000</v>
      </c>
    </row>
    <row r="17" spans="1:18" s="7" customFormat="1" ht="12.75" hidden="1" customHeight="1" x14ac:dyDescent="0.2">
      <c r="A17" s="86" t="s">
        <v>38</v>
      </c>
      <c r="B17" s="111"/>
      <c r="C17" s="111"/>
      <c r="E17" s="112">
        <v>5</v>
      </c>
      <c r="F17" s="113" t="s">
        <v>12</v>
      </c>
      <c r="G17" s="112" t="s">
        <v>7</v>
      </c>
      <c r="H17" s="112" t="s">
        <v>10</v>
      </c>
      <c r="J17" s="36"/>
      <c r="K17" s="36"/>
      <c r="L17" s="36"/>
      <c r="M17" s="36"/>
      <c r="N17" s="36">
        <f t="shared" ref="N17:N78" si="0">P17-L17</f>
        <v>0</v>
      </c>
      <c r="O17" s="36"/>
      <c r="P17" s="36"/>
      <c r="Q17" s="36"/>
      <c r="R17" s="36"/>
    </row>
    <row r="18" spans="1:18" s="7" customFormat="1" ht="12.75" hidden="1" customHeight="1" x14ac:dyDescent="0.2">
      <c r="A18" s="86" t="s">
        <v>39</v>
      </c>
      <c r="B18" s="111"/>
      <c r="C18" s="111"/>
      <c r="E18" s="112">
        <v>5</v>
      </c>
      <c r="F18" s="113" t="s">
        <v>12</v>
      </c>
      <c r="G18" s="112" t="s">
        <v>12</v>
      </c>
      <c r="H18" s="112" t="s">
        <v>8</v>
      </c>
      <c r="J18" s="36"/>
      <c r="K18" s="36"/>
      <c r="L18" s="36"/>
      <c r="M18" s="36"/>
      <c r="N18" s="36">
        <f t="shared" si="0"/>
        <v>0</v>
      </c>
      <c r="O18" s="36"/>
      <c r="P18" s="36"/>
      <c r="Q18" s="36"/>
      <c r="R18" s="36"/>
    </row>
    <row r="19" spans="1:18" s="7" customFormat="1" ht="12.75" hidden="1" customHeight="1" x14ac:dyDescent="0.2">
      <c r="A19" s="86" t="s">
        <v>142</v>
      </c>
      <c r="B19" s="111"/>
      <c r="C19" s="111"/>
      <c r="D19" s="112"/>
      <c r="E19" s="112">
        <v>5</v>
      </c>
      <c r="F19" s="113" t="s">
        <v>12</v>
      </c>
      <c r="G19" s="112" t="s">
        <v>12</v>
      </c>
      <c r="H19" s="112" t="s">
        <v>10</v>
      </c>
      <c r="J19" s="36"/>
      <c r="K19" s="36"/>
      <c r="L19" s="36"/>
      <c r="M19" s="36"/>
      <c r="N19" s="36">
        <f t="shared" si="0"/>
        <v>0</v>
      </c>
      <c r="O19" s="36"/>
      <c r="P19" s="36"/>
      <c r="Q19" s="36"/>
      <c r="R19" s="36"/>
    </row>
    <row r="20" spans="1:18" s="7" customFormat="1" ht="12.75" hidden="1" customHeight="1" x14ac:dyDescent="0.2">
      <c r="A20" s="86" t="s">
        <v>41</v>
      </c>
      <c r="B20" s="111"/>
      <c r="C20" s="111"/>
      <c r="D20" s="112"/>
      <c r="E20" s="112">
        <v>5</v>
      </c>
      <c r="F20" s="113" t="s">
        <v>12</v>
      </c>
      <c r="G20" s="112" t="s">
        <v>29</v>
      </c>
      <c r="H20" s="112" t="s">
        <v>10</v>
      </c>
      <c r="J20" s="36"/>
      <c r="K20" s="36"/>
      <c r="L20" s="36"/>
      <c r="M20" s="36"/>
      <c r="N20" s="36">
        <f t="shared" si="0"/>
        <v>0</v>
      </c>
      <c r="O20" s="36"/>
      <c r="P20" s="36"/>
      <c r="Q20" s="36"/>
      <c r="R20" s="36"/>
    </row>
    <row r="21" spans="1:18" s="7" customFormat="1" ht="12.75" hidden="1" customHeight="1" x14ac:dyDescent="0.2">
      <c r="A21" s="86" t="s">
        <v>42</v>
      </c>
      <c r="B21" s="111"/>
      <c r="C21" s="111"/>
      <c r="D21" s="112"/>
      <c r="E21" s="112">
        <v>5</v>
      </c>
      <c r="F21" s="113" t="s">
        <v>12</v>
      </c>
      <c r="G21" s="112" t="s">
        <v>29</v>
      </c>
      <c r="H21" s="112" t="s">
        <v>17</v>
      </c>
      <c r="J21" s="36"/>
      <c r="K21" s="36"/>
      <c r="L21" s="36"/>
      <c r="M21" s="36"/>
      <c r="N21" s="36">
        <f t="shared" si="0"/>
        <v>0</v>
      </c>
      <c r="O21" s="36"/>
      <c r="P21" s="36"/>
      <c r="Q21" s="36"/>
      <c r="R21" s="36"/>
    </row>
    <row r="22" spans="1:18" s="7" customFormat="1" ht="12.75" hidden="1" customHeight="1" x14ac:dyDescent="0.2">
      <c r="A22" s="86" t="s">
        <v>43</v>
      </c>
      <c r="B22" s="111"/>
      <c r="C22" s="111"/>
      <c r="D22" s="112"/>
      <c r="E22" s="112">
        <v>5</v>
      </c>
      <c r="F22" s="113" t="s">
        <v>12</v>
      </c>
      <c r="G22" s="112" t="s">
        <v>29</v>
      </c>
      <c r="H22" s="112" t="s">
        <v>64</v>
      </c>
      <c r="J22" s="36"/>
      <c r="K22" s="36"/>
      <c r="L22" s="36"/>
      <c r="M22" s="36"/>
      <c r="N22" s="36">
        <f t="shared" si="0"/>
        <v>0</v>
      </c>
      <c r="O22" s="36"/>
      <c r="P22" s="36"/>
      <c r="Q22" s="36"/>
      <c r="R22" s="36"/>
    </row>
    <row r="23" spans="1:18" s="7" customFormat="1" ht="12.75" hidden="1" customHeight="1" x14ac:dyDescent="0.2">
      <c r="A23" s="86" t="s">
        <v>88</v>
      </c>
      <c r="B23" s="111"/>
      <c r="C23" s="111"/>
      <c r="E23" s="112">
        <v>5</v>
      </c>
      <c r="F23" s="113" t="s">
        <v>12</v>
      </c>
      <c r="G23" s="112" t="s">
        <v>29</v>
      </c>
      <c r="H23" s="112" t="s">
        <v>60</v>
      </c>
      <c r="J23" s="36"/>
      <c r="K23" s="36"/>
      <c r="L23" s="36"/>
      <c r="M23" s="36"/>
      <c r="N23" s="36">
        <f t="shared" si="0"/>
        <v>0</v>
      </c>
      <c r="O23" s="36"/>
      <c r="P23" s="36"/>
      <c r="Q23" s="36"/>
      <c r="R23" s="36"/>
    </row>
    <row r="24" spans="1:18" s="7" customFormat="1" ht="12.75" hidden="1" customHeight="1" x14ac:dyDescent="0.2">
      <c r="A24" s="86" t="s">
        <v>150</v>
      </c>
      <c r="B24" s="111"/>
      <c r="C24" s="111"/>
      <c r="D24" s="112"/>
      <c r="E24" s="112">
        <v>5</v>
      </c>
      <c r="F24" s="113" t="s">
        <v>12</v>
      </c>
      <c r="G24" s="112" t="s">
        <v>29</v>
      </c>
      <c r="H24" s="112" t="s">
        <v>19</v>
      </c>
      <c r="J24" s="39"/>
      <c r="K24" s="39"/>
      <c r="L24" s="36"/>
      <c r="M24" s="36"/>
      <c r="N24" s="36">
        <f t="shared" si="0"/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151</v>
      </c>
      <c r="B25" s="111"/>
      <c r="C25" s="111"/>
      <c r="D25" s="112"/>
      <c r="E25" s="112">
        <v>5</v>
      </c>
      <c r="F25" s="113" t="s">
        <v>12</v>
      </c>
      <c r="G25" s="112" t="s">
        <v>29</v>
      </c>
      <c r="H25" s="112" t="s">
        <v>82</v>
      </c>
      <c r="J25" s="39"/>
      <c r="K25" s="39"/>
      <c r="L25" s="36"/>
      <c r="M25" s="36"/>
      <c r="N25" s="36">
        <f t="shared" si="0"/>
        <v>0</v>
      </c>
      <c r="O25" s="36"/>
      <c r="P25" s="36"/>
      <c r="Q25" s="36"/>
      <c r="R25" s="36"/>
    </row>
    <row r="26" spans="1:18" s="7" customFormat="1" ht="12.75" customHeight="1" x14ac:dyDescent="0.2">
      <c r="A26" s="86" t="s">
        <v>44</v>
      </c>
      <c r="B26" s="111"/>
      <c r="C26" s="111"/>
      <c r="D26" s="112"/>
      <c r="E26" s="112">
        <v>5</v>
      </c>
      <c r="F26" s="113" t="s">
        <v>12</v>
      </c>
      <c r="G26" s="112" t="s">
        <v>29</v>
      </c>
      <c r="H26" s="112" t="s">
        <v>45</v>
      </c>
      <c r="J26" s="39">
        <v>49197.54</v>
      </c>
      <c r="K26" s="39"/>
      <c r="L26" s="36">
        <v>2375.25</v>
      </c>
      <c r="M26" s="36"/>
      <c r="N26" s="36">
        <f t="shared" si="0"/>
        <v>177624.75</v>
      </c>
      <c r="O26" s="36"/>
      <c r="P26" s="36">
        <v>180000</v>
      </c>
      <c r="Q26" s="36"/>
      <c r="R26" s="36">
        <v>180000</v>
      </c>
    </row>
    <row r="27" spans="1:18" s="7" customFormat="1" ht="12.75" hidden="1" customHeight="1" x14ac:dyDescent="0.2">
      <c r="A27" s="86" t="s">
        <v>152</v>
      </c>
      <c r="B27" s="111"/>
      <c r="C27" s="111"/>
      <c r="D27" s="112"/>
      <c r="E27" s="112">
        <v>5</v>
      </c>
      <c r="F27" s="113" t="s">
        <v>12</v>
      </c>
      <c r="G27" s="112" t="s">
        <v>29</v>
      </c>
      <c r="H27" s="112" t="s">
        <v>102</v>
      </c>
      <c r="J27" s="36"/>
      <c r="K27" s="36"/>
      <c r="L27" s="36"/>
      <c r="M27" s="36"/>
      <c r="N27" s="36">
        <f t="shared" si="0"/>
        <v>0</v>
      </c>
      <c r="O27" s="36"/>
      <c r="P27" s="36"/>
      <c r="Q27" s="36"/>
      <c r="R27" s="36"/>
    </row>
    <row r="28" spans="1:18" s="7" customFormat="1" ht="12.75" hidden="1" customHeight="1" x14ac:dyDescent="0.2">
      <c r="A28" s="86" t="s">
        <v>153</v>
      </c>
      <c r="B28" s="111"/>
      <c r="C28" s="111"/>
      <c r="D28" s="112"/>
      <c r="E28" s="112">
        <v>5</v>
      </c>
      <c r="F28" s="113" t="s">
        <v>12</v>
      </c>
      <c r="G28" s="112" t="s">
        <v>29</v>
      </c>
      <c r="H28" s="112" t="s">
        <v>146</v>
      </c>
      <c r="J28" s="36"/>
      <c r="K28" s="36"/>
      <c r="L28" s="36"/>
      <c r="M28" s="36"/>
      <c r="N28" s="36">
        <f t="shared" si="0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46</v>
      </c>
      <c r="B29" s="111"/>
      <c r="C29" s="111"/>
      <c r="D29" s="112"/>
      <c r="E29" s="112">
        <v>5</v>
      </c>
      <c r="F29" s="113" t="s">
        <v>12</v>
      </c>
      <c r="G29" s="112" t="s">
        <v>29</v>
      </c>
      <c r="H29" s="112" t="s">
        <v>47</v>
      </c>
      <c r="J29" s="36"/>
      <c r="K29" s="36"/>
      <c r="L29" s="36"/>
      <c r="M29" s="36"/>
      <c r="N29" s="36">
        <f t="shared" si="0"/>
        <v>0</v>
      </c>
      <c r="O29" s="36"/>
      <c r="P29" s="36"/>
      <c r="Q29" s="36"/>
      <c r="R29" s="36"/>
    </row>
    <row r="30" spans="1:18" s="7" customFormat="1" ht="12.75" hidden="1" customHeight="1" x14ac:dyDescent="0.2">
      <c r="A30" s="86" t="s">
        <v>154</v>
      </c>
      <c r="B30" s="111"/>
      <c r="C30" s="111"/>
      <c r="E30" s="112">
        <v>5</v>
      </c>
      <c r="F30" s="113" t="s">
        <v>12</v>
      </c>
      <c r="G30" s="112" t="s">
        <v>29</v>
      </c>
      <c r="H30" s="112" t="s">
        <v>15</v>
      </c>
      <c r="J30" s="36"/>
      <c r="K30" s="36"/>
      <c r="L30" s="36"/>
      <c r="M30" s="36"/>
      <c r="N30" s="36">
        <f t="shared" si="0"/>
        <v>0</v>
      </c>
      <c r="O30" s="36"/>
      <c r="P30" s="36"/>
      <c r="Q30" s="36"/>
      <c r="R30" s="36"/>
    </row>
    <row r="31" spans="1:18" s="7" customFormat="1" ht="12.75" hidden="1" customHeight="1" x14ac:dyDescent="0.2">
      <c r="A31" s="86" t="s">
        <v>51</v>
      </c>
      <c r="B31" s="111"/>
      <c r="C31" s="111"/>
      <c r="D31" s="112"/>
      <c r="E31" s="112">
        <v>5</v>
      </c>
      <c r="F31" s="113" t="s">
        <v>12</v>
      </c>
      <c r="G31" s="112" t="s">
        <v>29</v>
      </c>
      <c r="H31" s="112" t="s">
        <v>24</v>
      </c>
      <c r="J31" s="36"/>
      <c r="K31" s="36"/>
      <c r="L31" s="36"/>
      <c r="M31" s="36"/>
      <c r="N31" s="36">
        <f t="shared" si="0"/>
        <v>0</v>
      </c>
      <c r="O31" s="36"/>
      <c r="P31" s="36"/>
      <c r="Q31" s="36"/>
      <c r="R31" s="36"/>
    </row>
    <row r="32" spans="1:18" s="7" customFormat="1" ht="12.75" customHeight="1" x14ac:dyDescent="0.2">
      <c r="A32" s="86" t="s">
        <v>48</v>
      </c>
      <c r="B32" s="111"/>
      <c r="C32" s="111"/>
      <c r="E32" s="112">
        <v>5</v>
      </c>
      <c r="F32" s="113" t="s">
        <v>12</v>
      </c>
      <c r="G32" s="112" t="s">
        <v>29</v>
      </c>
      <c r="H32" s="114" t="s">
        <v>49</v>
      </c>
      <c r="J32" s="36">
        <v>89000</v>
      </c>
      <c r="K32" s="36"/>
      <c r="L32" s="36">
        <v>0</v>
      </c>
      <c r="M32" s="36"/>
      <c r="N32" s="36">
        <f t="shared" si="0"/>
        <v>300000</v>
      </c>
      <c r="O32" s="36"/>
      <c r="P32" s="36">
        <v>300000</v>
      </c>
      <c r="Q32" s="36"/>
      <c r="R32" s="36">
        <v>300000</v>
      </c>
    </row>
    <row r="33" spans="1:18" s="7" customFormat="1" ht="12.75" customHeight="1" x14ac:dyDescent="0.2">
      <c r="A33" s="86" t="s">
        <v>50</v>
      </c>
      <c r="B33" s="111"/>
      <c r="C33" s="111"/>
      <c r="D33" s="112"/>
      <c r="E33" s="112">
        <v>5</v>
      </c>
      <c r="F33" s="113" t="s">
        <v>12</v>
      </c>
      <c r="G33" s="112" t="s">
        <v>34</v>
      </c>
      <c r="H33" s="112" t="s">
        <v>8</v>
      </c>
      <c r="J33" s="36">
        <v>680338</v>
      </c>
      <c r="K33" s="36"/>
      <c r="L33" s="36">
        <v>114006.18</v>
      </c>
      <c r="M33" s="36"/>
      <c r="N33" s="36">
        <f t="shared" si="0"/>
        <v>635993.82000000007</v>
      </c>
      <c r="O33" s="36"/>
      <c r="P33" s="36">
        <v>750000</v>
      </c>
      <c r="Q33" s="36"/>
      <c r="R33" s="36">
        <v>750000</v>
      </c>
    </row>
    <row r="34" spans="1:18" s="7" customFormat="1" ht="12.75" customHeight="1" x14ac:dyDescent="0.2">
      <c r="A34" s="86" t="s">
        <v>52</v>
      </c>
      <c r="B34" s="111"/>
      <c r="C34" s="111"/>
      <c r="D34" s="112"/>
      <c r="E34" s="112">
        <v>5</v>
      </c>
      <c r="F34" s="113" t="s">
        <v>12</v>
      </c>
      <c r="G34" s="112" t="s">
        <v>34</v>
      </c>
      <c r="H34" s="112" t="s">
        <v>10</v>
      </c>
      <c r="J34" s="36">
        <v>5427128.7000000002</v>
      </c>
      <c r="K34" s="36"/>
      <c r="L34" s="36">
        <v>586988.75</v>
      </c>
      <c r="M34" s="36"/>
      <c r="N34" s="36">
        <f t="shared" si="0"/>
        <v>6113011.25</v>
      </c>
      <c r="O34" s="36"/>
      <c r="P34" s="36">
        <v>6700000</v>
      </c>
      <c r="Q34" s="36"/>
      <c r="R34" s="36">
        <v>6700000</v>
      </c>
    </row>
    <row r="35" spans="1:18" s="7" customFormat="1" ht="12.75" hidden="1" customHeight="1" x14ac:dyDescent="0.2">
      <c r="A35" s="86" t="s">
        <v>48</v>
      </c>
      <c r="B35" s="111"/>
      <c r="C35" s="111"/>
      <c r="D35" s="112"/>
      <c r="E35" s="112">
        <v>5</v>
      </c>
      <c r="F35" s="113" t="s">
        <v>12</v>
      </c>
      <c r="G35" s="112" t="s">
        <v>29</v>
      </c>
      <c r="H35" s="114" t="s">
        <v>49</v>
      </c>
      <c r="J35" s="36"/>
      <c r="K35" s="36"/>
      <c r="L35" s="36"/>
      <c r="M35" s="36"/>
      <c r="N35" s="36">
        <f t="shared" si="0"/>
        <v>0</v>
      </c>
      <c r="O35" s="36"/>
      <c r="P35" s="36"/>
      <c r="Q35" s="36"/>
      <c r="R35" s="36"/>
    </row>
    <row r="36" spans="1:18" s="7" customFormat="1" ht="12.75" hidden="1" customHeight="1" x14ac:dyDescent="0.2">
      <c r="A36" s="86" t="s">
        <v>53</v>
      </c>
      <c r="B36" s="111"/>
      <c r="C36" s="111"/>
      <c r="E36" s="112">
        <v>5</v>
      </c>
      <c r="F36" s="113" t="s">
        <v>12</v>
      </c>
      <c r="G36" s="112" t="s">
        <v>54</v>
      </c>
      <c r="H36" s="112" t="s">
        <v>8</v>
      </c>
      <c r="J36" s="36"/>
      <c r="K36" s="36"/>
      <c r="L36" s="36"/>
      <c r="M36" s="36"/>
      <c r="N36" s="36">
        <f t="shared" si="0"/>
        <v>0</v>
      </c>
      <c r="O36" s="36"/>
      <c r="P36" s="36"/>
      <c r="Q36" s="36"/>
      <c r="R36" s="36"/>
    </row>
    <row r="37" spans="1:18" s="7" customFormat="1" ht="12.75" customHeight="1" x14ac:dyDescent="0.2">
      <c r="A37" s="86" t="s">
        <v>55</v>
      </c>
      <c r="B37" s="111"/>
      <c r="C37" s="111"/>
      <c r="E37" s="112">
        <v>5</v>
      </c>
      <c r="F37" s="113" t="s">
        <v>12</v>
      </c>
      <c r="G37" s="112" t="s">
        <v>54</v>
      </c>
      <c r="H37" s="112" t="s">
        <v>10</v>
      </c>
      <c r="J37" s="36">
        <v>31688.85</v>
      </c>
      <c r="K37" s="36"/>
      <c r="L37" s="36">
        <v>3640.4</v>
      </c>
      <c r="M37" s="36"/>
      <c r="N37" s="36">
        <f t="shared" si="0"/>
        <v>56359.6</v>
      </c>
      <c r="O37" s="36"/>
      <c r="P37" s="36">
        <v>60000</v>
      </c>
      <c r="Q37" s="36"/>
      <c r="R37" s="36">
        <v>60000</v>
      </c>
    </row>
    <row r="38" spans="1:18" s="7" customFormat="1" ht="12.75" customHeight="1" x14ac:dyDescent="0.2">
      <c r="A38" s="86" t="s">
        <v>56</v>
      </c>
      <c r="B38" s="111"/>
      <c r="C38" s="111"/>
      <c r="E38" s="112">
        <v>5</v>
      </c>
      <c r="F38" s="113" t="s">
        <v>12</v>
      </c>
      <c r="G38" s="112" t="s">
        <v>54</v>
      </c>
      <c r="H38" s="112" t="s">
        <v>15</v>
      </c>
      <c r="J38" s="36">
        <v>53730</v>
      </c>
      <c r="K38" s="36"/>
      <c r="L38" s="36">
        <v>6740</v>
      </c>
      <c r="M38" s="36"/>
      <c r="N38" s="36">
        <f t="shared" si="0"/>
        <v>53260</v>
      </c>
      <c r="O38" s="36"/>
      <c r="P38" s="36">
        <v>60000</v>
      </c>
      <c r="Q38" s="36"/>
      <c r="R38" s="36">
        <v>60000</v>
      </c>
    </row>
    <row r="39" spans="1:18" s="7" customFormat="1" ht="12.75" hidden="1" customHeight="1" x14ac:dyDescent="0.2">
      <c r="A39" s="86" t="s">
        <v>57</v>
      </c>
      <c r="B39" s="111"/>
      <c r="C39" s="111"/>
      <c r="E39" s="112">
        <v>5</v>
      </c>
      <c r="F39" s="113" t="s">
        <v>12</v>
      </c>
      <c r="G39" s="112" t="s">
        <v>54</v>
      </c>
      <c r="H39" s="112" t="s">
        <v>17</v>
      </c>
      <c r="J39" s="36"/>
      <c r="K39" s="36"/>
      <c r="L39" s="36"/>
      <c r="M39" s="36"/>
      <c r="N39" s="36">
        <f t="shared" si="0"/>
        <v>0</v>
      </c>
      <c r="O39" s="36"/>
      <c r="P39" s="36"/>
      <c r="Q39" s="36"/>
      <c r="R39" s="36"/>
    </row>
    <row r="40" spans="1:18" s="7" customFormat="1" ht="12.75" hidden="1" customHeight="1" x14ac:dyDescent="0.2">
      <c r="A40" s="86" t="s">
        <v>58</v>
      </c>
      <c r="B40" s="111"/>
      <c r="C40" s="111"/>
      <c r="E40" s="112">
        <v>5</v>
      </c>
      <c r="F40" s="112" t="s">
        <v>12</v>
      </c>
      <c r="G40" s="112" t="s">
        <v>59</v>
      </c>
      <c r="H40" s="112" t="s">
        <v>60</v>
      </c>
      <c r="J40" s="36"/>
      <c r="K40" s="36"/>
      <c r="L40" s="36"/>
      <c r="M40" s="36"/>
      <c r="N40" s="36">
        <f t="shared" si="0"/>
        <v>0</v>
      </c>
      <c r="O40" s="36"/>
      <c r="P40" s="36"/>
      <c r="Q40" s="36"/>
      <c r="R40" s="36"/>
    </row>
    <row r="41" spans="1:18" s="7" customFormat="1" ht="12.75" hidden="1" customHeight="1" x14ac:dyDescent="0.2">
      <c r="A41" s="86" t="s">
        <v>66</v>
      </c>
      <c r="B41" s="111"/>
      <c r="C41" s="111"/>
      <c r="E41" s="112">
        <v>5</v>
      </c>
      <c r="F41" s="113" t="s">
        <v>12</v>
      </c>
      <c r="G41" s="112" t="s">
        <v>67</v>
      </c>
      <c r="H41" s="112" t="s">
        <v>8</v>
      </c>
      <c r="J41" s="36"/>
      <c r="K41" s="36"/>
      <c r="L41" s="36"/>
      <c r="M41" s="36"/>
      <c r="N41" s="36">
        <f t="shared" si="0"/>
        <v>0</v>
      </c>
      <c r="O41" s="36"/>
      <c r="P41" s="36"/>
      <c r="Q41" s="36"/>
      <c r="R41" s="36"/>
    </row>
    <row r="42" spans="1:18" s="7" customFormat="1" ht="12.75" hidden="1" customHeight="1" x14ac:dyDescent="0.2">
      <c r="A42" s="86" t="s">
        <v>61</v>
      </c>
      <c r="B42" s="111"/>
      <c r="C42" s="111"/>
      <c r="E42" s="112">
        <v>5</v>
      </c>
      <c r="F42" s="113" t="s">
        <v>12</v>
      </c>
      <c r="G42" s="112" t="s">
        <v>59</v>
      </c>
      <c r="H42" s="112" t="s">
        <v>8</v>
      </c>
      <c r="J42" s="36"/>
      <c r="K42" s="36"/>
      <c r="L42" s="36"/>
      <c r="M42" s="36"/>
      <c r="N42" s="36">
        <f t="shared" si="0"/>
        <v>0</v>
      </c>
      <c r="O42" s="36"/>
      <c r="P42" s="36"/>
      <c r="Q42" s="36"/>
      <c r="R42" s="36"/>
    </row>
    <row r="43" spans="1:18" s="7" customFormat="1" ht="12.75" hidden="1" customHeight="1" x14ac:dyDescent="0.2">
      <c r="A43" s="86" t="s">
        <v>62</v>
      </c>
      <c r="B43" s="111"/>
      <c r="C43" s="111"/>
      <c r="E43" s="112">
        <v>5</v>
      </c>
      <c r="F43" s="113" t="s">
        <v>12</v>
      </c>
      <c r="G43" s="112" t="s">
        <v>59</v>
      </c>
      <c r="H43" s="112" t="s">
        <v>10</v>
      </c>
      <c r="J43" s="36"/>
      <c r="K43" s="36"/>
      <c r="L43" s="36"/>
      <c r="M43" s="36"/>
      <c r="N43" s="36">
        <f t="shared" si="0"/>
        <v>0</v>
      </c>
      <c r="O43" s="36"/>
      <c r="P43" s="36"/>
      <c r="Q43" s="36"/>
      <c r="R43" s="36"/>
    </row>
    <row r="44" spans="1:18" s="7" customFormat="1" ht="12.75" hidden="1" customHeight="1" x14ac:dyDescent="0.2">
      <c r="A44" s="86" t="s">
        <v>63</v>
      </c>
      <c r="B44" s="111"/>
      <c r="C44" s="111"/>
      <c r="E44" s="112">
        <v>5</v>
      </c>
      <c r="F44" s="113" t="s">
        <v>12</v>
      </c>
      <c r="G44" s="112" t="s">
        <v>59</v>
      </c>
      <c r="H44" s="112" t="s">
        <v>64</v>
      </c>
      <c r="J44" s="36"/>
      <c r="K44" s="36"/>
      <c r="L44" s="36"/>
      <c r="M44" s="36"/>
      <c r="N44" s="36">
        <f t="shared" si="0"/>
        <v>0</v>
      </c>
      <c r="O44" s="36"/>
      <c r="P44" s="36"/>
      <c r="Q44" s="36"/>
      <c r="R44" s="36"/>
    </row>
    <row r="45" spans="1:18" s="7" customFormat="1" ht="12.75" hidden="1" customHeight="1" x14ac:dyDescent="0.2">
      <c r="A45" s="86" t="s">
        <v>155</v>
      </c>
      <c r="B45" s="111"/>
      <c r="C45" s="111"/>
      <c r="E45" s="112">
        <v>5</v>
      </c>
      <c r="F45" s="113" t="s">
        <v>12</v>
      </c>
      <c r="G45" s="112" t="s">
        <v>59</v>
      </c>
      <c r="H45" s="112" t="s">
        <v>15</v>
      </c>
      <c r="J45" s="36"/>
      <c r="K45" s="36"/>
      <c r="L45" s="36"/>
      <c r="M45" s="36"/>
      <c r="N45" s="36">
        <f t="shared" si="0"/>
        <v>0</v>
      </c>
      <c r="O45" s="36"/>
      <c r="P45" s="36"/>
      <c r="Q45" s="36"/>
      <c r="R45" s="36"/>
    </row>
    <row r="46" spans="1:18" s="7" customFormat="1" ht="12.75" hidden="1" customHeight="1" x14ac:dyDescent="0.2">
      <c r="A46" s="86" t="s">
        <v>156</v>
      </c>
      <c r="B46" s="111"/>
      <c r="C46" s="111"/>
      <c r="E46" s="112">
        <v>5</v>
      </c>
      <c r="F46" s="112" t="s">
        <v>12</v>
      </c>
      <c r="G46" s="112" t="s">
        <v>59</v>
      </c>
      <c r="H46" s="112" t="s">
        <v>17</v>
      </c>
      <c r="J46" s="36"/>
      <c r="K46" s="36"/>
      <c r="L46" s="36"/>
      <c r="M46" s="36"/>
      <c r="N46" s="36">
        <f t="shared" si="0"/>
        <v>0</v>
      </c>
      <c r="O46" s="36"/>
      <c r="P46" s="36"/>
      <c r="Q46" s="36"/>
      <c r="R46" s="36"/>
    </row>
    <row r="47" spans="1:18" s="7" customFormat="1" ht="12.75" hidden="1" customHeight="1" x14ac:dyDescent="0.2">
      <c r="A47" s="86" t="s">
        <v>65</v>
      </c>
      <c r="B47" s="111"/>
      <c r="C47" s="111"/>
      <c r="E47" s="112">
        <v>5</v>
      </c>
      <c r="F47" s="113" t="s">
        <v>12</v>
      </c>
      <c r="G47" s="112" t="s">
        <v>59</v>
      </c>
      <c r="H47" s="112" t="s">
        <v>19</v>
      </c>
      <c r="J47" s="36"/>
      <c r="K47" s="36"/>
      <c r="L47" s="36"/>
      <c r="M47" s="36"/>
      <c r="N47" s="36">
        <f t="shared" si="0"/>
        <v>0</v>
      </c>
      <c r="O47" s="36"/>
      <c r="P47" s="36"/>
      <c r="Q47" s="36"/>
      <c r="R47" s="36"/>
    </row>
    <row r="48" spans="1:18" s="7" customFormat="1" ht="12.75" hidden="1" customHeight="1" x14ac:dyDescent="0.2">
      <c r="A48" s="86" t="s">
        <v>157</v>
      </c>
      <c r="B48" s="111"/>
      <c r="C48" s="111"/>
      <c r="E48" s="112">
        <v>5</v>
      </c>
      <c r="F48" s="113" t="s">
        <v>12</v>
      </c>
      <c r="G48" s="112" t="s">
        <v>93</v>
      </c>
      <c r="H48" s="112" t="s">
        <v>8</v>
      </c>
      <c r="J48" s="36"/>
      <c r="K48" s="36"/>
      <c r="L48" s="36"/>
      <c r="M48" s="36"/>
      <c r="N48" s="36">
        <f t="shared" si="0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66</v>
      </c>
      <c r="B49" s="111"/>
      <c r="C49" s="111"/>
      <c r="E49" s="112">
        <v>5</v>
      </c>
      <c r="F49" s="113" t="s">
        <v>12</v>
      </c>
      <c r="G49" s="112" t="s">
        <v>67</v>
      </c>
      <c r="H49" s="112" t="s">
        <v>8</v>
      </c>
      <c r="J49" s="36"/>
      <c r="K49" s="36"/>
      <c r="L49" s="36"/>
      <c r="M49" s="36"/>
      <c r="N49" s="36">
        <f t="shared" si="0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68</v>
      </c>
      <c r="B50" s="111"/>
      <c r="C50" s="111"/>
      <c r="E50" s="112">
        <v>5</v>
      </c>
      <c r="F50" s="113" t="s">
        <v>12</v>
      </c>
      <c r="G50" s="112" t="s">
        <v>67</v>
      </c>
      <c r="H50" s="112" t="s">
        <v>10</v>
      </c>
      <c r="J50" s="36"/>
      <c r="K50" s="36"/>
      <c r="L50" s="36"/>
      <c r="M50" s="36"/>
      <c r="N50" s="36">
        <f t="shared" si="0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158</v>
      </c>
      <c r="B51" s="111"/>
      <c r="C51" s="111"/>
      <c r="E51" s="112">
        <v>5</v>
      </c>
      <c r="F51" s="113" t="s">
        <v>12</v>
      </c>
      <c r="G51" s="112" t="s">
        <v>70</v>
      </c>
      <c r="H51" s="112" t="s">
        <v>8</v>
      </c>
      <c r="J51" s="36"/>
      <c r="K51" s="36"/>
      <c r="L51" s="36"/>
      <c r="M51" s="36"/>
      <c r="N51" s="36">
        <f t="shared" si="0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159</v>
      </c>
      <c r="B52" s="111"/>
      <c r="C52" s="111"/>
      <c r="E52" s="112">
        <v>5</v>
      </c>
      <c r="F52" s="113" t="s">
        <v>12</v>
      </c>
      <c r="G52" s="112" t="s">
        <v>70</v>
      </c>
      <c r="H52" s="112" t="s">
        <v>10</v>
      </c>
      <c r="J52" s="36"/>
      <c r="K52" s="36"/>
      <c r="L52" s="36"/>
      <c r="M52" s="36"/>
      <c r="N52" s="36">
        <f t="shared" si="0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69</v>
      </c>
      <c r="B53" s="111"/>
      <c r="C53" s="111"/>
      <c r="E53" s="112">
        <v>5</v>
      </c>
      <c r="F53" s="113" t="s">
        <v>12</v>
      </c>
      <c r="G53" s="112" t="s">
        <v>70</v>
      </c>
      <c r="H53" s="112" t="s">
        <v>15</v>
      </c>
      <c r="J53" s="36"/>
      <c r="K53" s="36"/>
      <c r="L53" s="36"/>
      <c r="M53" s="36"/>
      <c r="N53" s="36">
        <f t="shared" si="0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160</v>
      </c>
      <c r="B54" s="111"/>
      <c r="C54" s="111"/>
      <c r="E54" s="112">
        <v>5</v>
      </c>
      <c r="F54" s="113" t="s">
        <v>12</v>
      </c>
      <c r="G54" s="112" t="s">
        <v>163</v>
      </c>
      <c r="H54" s="112" t="s">
        <v>8</v>
      </c>
      <c r="J54" s="36"/>
      <c r="K54" s="36"/>
      <c r="L54" s="36"/>
      <c r="M54" s="36"/>
      <c r="N54" s="36">
        <f t="shared" si="0"/>
        <v>0</v>
      </c>
      <c r="O54" s="36"/>
      <c r="P54" s="36"/>
      <c r="Q54" s="36"/>
      <c r="R54" s="36"/>
    </row>
    <row r="55" spans="1:18" s="7" customFormat="1" ht="12.75" hidden="1" customHeight="1" x14ac:dyDescent="0.2">
      <c r="A55" s="86" t="s">
        <v>161</v>
      </c>
      <c r="B55" s="111"/>
      <c r="C55" s="111"/>
      <c r="E55" s="112">
        <v>5</v>
      </c>
      <c r="F55" s="113" t="s">
        <v>12</v>
      </c>
      <c r="G55" s="112" t="s">
        <v>163</v>
      </c>
      <c r="H55" s="114" t="s">
        <v>49</v>
      </c>
      <c r="J55" s="36"/>
      <c r="K55" s="36"/>
      <c r="L55" s="36"/>
      <c r="M55" s="36"/>
      <c r="N55" s="36">
        <f t="shared" si="0"/>
        <v>0</v>
      </c>
      <c r="O55" s="36"/>
      <c r="P55" s="36"/>
      <c r="Q55" s="36"/>
      <c r="R55" s="36"/>
    </row>
    <row r="56" spans="1:18" s="7" customFormat="1" ht="12.75" hidden="1" customHeight="1" x14ac:dyDescent="0.2">
      <c r="A56" s="86" t="s">
        <v>71</v>
      </c>
      <c r="B56" s="111"/>
      <c r="C56" s="111"/>
      <c r="E56" s="112">
        <v>5</v>
      </c>
      <c r="F56" s="113" t="s">
        <v>12</v>
      </c>
      <c r="G56" s="112" t="s">
        <v>163</v>
      </c>
      <c r="H56" s="112" t="s">
        <v>10</v>
      </c>
      <c r="J56" s="36"/>
      <c r="K56" s="36"/>
      <c r="L56" s="36"/>
      <c r="M56" s="36"/>
      <c r="N56" s="36">
        <f t="shared" si="0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162</v>
      </c>
      <c r="B57" s="111"/>
      <c r="C57" s="111"/>
      <c r="E57" s="112">
        <v>5</v>
      </c>
      <c r="F57" s="113" t="s">
        <v>12</v>
      </c>
      <c r="G57" s="112" t="s">
        <v>163</v>
      </c>
      <c r="H57" s="112" t="s">
        <v>15</v>
      </c>
      <c r="J57" s="36"/>
      <c r="K57" s="36"/>
      <c r="L57" s="36"/>
      <c r="M57" s="36"/>
      <c r="N57" s="36">
        <f t="shared" si="0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72</v>
      </c>
      <c r="B58" s="111"/>
      <c r="C58" s="111"/>
      <c r="E58" s="112">
        <v>5</v>
      </c>
      <c r="F58" s="113" t="s">
        <v>12</v>
      </c>
      <c r="G58" s="112" t="s">
        <v>70</v>
      </c>
      <c r="H58" s="112" t="s">
        <v>49</v>
      </c>
      <c r="J58" s="36"/>
      <c r="K58" s="36"/>
      <c r="L58" s="36"/>
      <c r="M58" s="36"/>
      <c r="N58" s="36">
        <f t="shared" si="0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164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10</v>
      </c>
      <c r="J59" s="36"/>
      <c r="K59" s="36"/>
      <c r="L59" s="36"/>
      <c r="M59" s="36"/>
      <c r="N59" s="36">
        <f t="shared" si="0"/>
        <v>0</v>
      </c>
      <c r="O59" s="36"/>
      <c r="P59" s="36"/>
      <c r="Q59" s="36"/>
      <c r="R59" s="36"/>
    </row>
    <row r="60" spans="1:18" s="7" customFormat="1" ht="12.75" customHeight="1" x14ac:dyDescent="0.2">
      <c r="A60" s="86" t="s">
        <v>165</v>
      </c>
      <c r="B60" s="111"/>
      <c r="C60" s="111"/>
      <c r="E60" s="112">
        <v>5</v>
      </c>
      <c r="F60" s="113" t="s">
        <v>12</v>
      </c>
      <c r="G60" s="112" t="s">
        <v>74</v>
      </c>
      <c r="H60" s="112" t="s">
        <v>15</v>
      </c>
      <c r="J60" s="36">
        <v>0</v>
      </c>
      <c r="K60" s="36"/>
      <c r="L60" s="36">
        <v>0</v>
      </c>
      <c r="M60" s="36"/>
      <c r="N60" s="36">
        <f t="shared" si="0"/>
        <v>150000</v>
      </c>
      <c r="O60" s="36"/>
      <c r="P60" s="36">
        <v>150000</v>
      </c>
      <c r="Q60" s="36"/>
      <c r="R60" s="36">
        <v>150000</v>
      </c>
    </row>
    <row r="61" spans="1:18" s="7" customFormat="1" ht="12.75" customHeight="1" x14ac:dyDescent="0.2">
      <c r="A61" s="86" t="s">
        <v>166</v>
      </c>
      <c r="B61" s="111"/>
      <c r="C61" s="111"/>
      <c r="E61" s="112">
        <v>5</v>
      </c>
      <c r="F61" s="113" t="s">
        <v>12</v>
      </c>
      <c r="G61" s="112" t="s">
        <v>74</v>
      </c>
      <c r="H61" s="112" t="s">
        <v>17</v>
      </c>
      <c r="J61" s="36">
        <v>264975</v>
      </c>
      <c r="K61" s="36"/>
      <c r="L61" s="36">
        <v>0</v>
      </c>
      <c r="M61" s="36"/>
      <c r="N61" s="36">
        <f t="shared" si="0"/>
        <v>500000</v>
      </c>
      <c r="O61" s="36"/>
      <c r="P61" s="36">
        <v>500000</v>
      </c>
      <c r="Q61" s="36"/>
      <c r="R61" s="36">
        <v>500000</v>
      </c>
    </row>
    <row r="62" spans="1:18" s="7" customFormat="1" ht="12.75" hidden="1" customHeight="1" x14ac:dyDescent="0.2">
      <c r="A62" s="86" t="s">
        <v>167</v>
      </c>
      <c r="B62" s="111"/>
      <c r="C62" s="111"/>
      <c r="E62" s="112">
        <v>5</v>
      </c>
      <c r="F62" s="113" t="s">
        <v>12</v>
      </c>
      <c r="G62" s="112" t="s">
        <v>74</v>
      </c>
      <c r="H62" s="112" t="s">
        <v>8</v>
      </c>
      <c r="J62" s="36"/>
      <c r="K62" s="36"/>
      <c r="L62" s="36"/>
      <c r="M62" s="36"/>
      <c r="N62" s="36">
        <f t="shared" si="0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168</v>
      </c>
      <c r="B63" s="111"/>
      <c r="C63" s="111"/>
      <c r="E63" s="112">
        <v>5</v>
      </c>
      <c r="F63" s="113" t="s">
        <v>12</v>
      </c>
      <c r="G63" s="112" t="s">
        <v>74</v>
      </c>
      <c r="H63" s="112" t="s">
        <v>45</v>
      </c>
      <c r="J63" s="36"/>
      <c r="K63" s="36"/>
      <c r="L63" s="36"/>
      <c r="M63" s="36"/>
      <c r="N63" s="36">
        <f t="shared" si="0"/>
        <v>0</v>
      </c>
      <c r="O63" s="36"/>
      <c r="P63" s="36"/>
      <c r="Q63" s="36"/>
      <c r="R63" s="36"/>
    </row>
    <row r="64" spans="1:18" s="7" customFormat="1" ht="12.75" customHeight="1" x14ac:dyDescent="0.2">
      <c r="A64" s="86" t="s">
        <v>73</v>
      </c>
      <c r="B64" s="111"/>
      <c r="C64" s="111"/>
      <c r="E64" s="112">
        <v>5</v>
      </c>
      <c r="F64" s="113" t="s">
        <v>12</v>
      </c>
      <c r="G64" s="112" t="s">
        <v>74</v>
      </c>
      <c r="H64" s="112" t="s">
        <v>64</v>
      </c>
      <c r="J64" s="36">
        <v>259003</v>
      </c>
      <c r="K64" s="36"/>
      <c r="L64" s="36">
        <v>0</v>
      </c>
      <c r="M64" s="36"/>
      <c r="N64" s="36">
        <f t="shared" si="0"/>
        <v>400000</v>
      </c>
      <c r="O64" s="36"/>
      <c r="P64" s="36">
        <v>400000</v>
      </c>
      <c r="Q64" s="36"/>
      <c r="R64" s="36">
        <v>400000</v>
      </c>
    </row>
    <row r="65" spans="1:18" s="7" customFormat="1" ht="12.75" customHeight="1" x14ac:dyDescent="0.2">
      <c r="A65" s="86" t="s">
        <v>75</v>
      </c>
      <c r="B65" s="111"/>
      <c r="C65" s="111"/>
      <c r="E65" s="112">
        <v>5</v>
      </c>
      <c r="F65" s="113" t="s">
        <v>12</v>
      </c>
      <c r="G65" s="112" t="s">
        <v>74</v>
      </c>
      <c r="H65" s="112" t="s">
        <v>19</v>
      </c>
      <c r="J65" s="36">
        <v>5604</v>
      </c>
      <c r="K65" s="36"/>
      <c r="L65" s="36">
        <v>0</v>
      </c>
      <c r="M65" s="36"/>
      <c r="N65" s="36">
        <f t="shared" si="0"/>
        <v>50000</v>
      </c>
      <c r="O65" s="36"/>
      <c r="P65" s="36">
        <v>50000</v>
      </c>
      <c r="Q65" s="36"/>
      <c r="R65" s="36">
        <v>50000</v>
      </c>
    </row>
    <row r="66" spans="1:18" s="7" customFormat="1" ht="12.75" hidden="1" customHeight="1" x14ac:dyDescent="0.2">
      <c r="A66" s="86" t="s">
        <v>76</v>
      </c>
      <c r="B66" s="111"/>
      <c r="C66" s="111"/>
      <c r="E66" s="112">
        <v>5</v>
      </c>
      <c r="F66" s="113" t="s">
        <v>12</v>
      </c>
      <c r="G66" s="112" t="s">
        <v>74</v>
      </c>
      <c r="H66" s="112" t="s">
        <v>60</v>
      </c>
      <c r="J66" s="36"/>
      <c r="K66" s="36"/>
      <c r="L66" s="36"/>
      <c r="M66" s="36"/>
      <c r="N66" s="36">
        <f t="shared" si="0"/>
        <v>0</v>
      </c>
      <c r="O66" s="36"/>
      <c r="P66" s="36"/>
      <c r="Q66" s="36"/>
      <c r="R66" s="36"/>
    </row>
    <row r="67" spans="1:18" s="7" customFormat="1" ht="12.75" customHeight="1" x14ac:dyDescent="0.2">
      <c r="A67" s="86" t="s">
        <v>77</v>
      </c>
      <c r="B67" s="111"/>
      <c r="C67" s="111"/>
      <c r="E67" s="112">
        <v>5</v>
      </c>
      <c r="F67" s="113" t="s">
        <v>12</v>
      </c>
      <c r="G67" s="112" t="s">
        <v>74</v>
      </c>
      <c r="H67" s="112" t="s">
        <v>49</v>
      </c>
      <c r="J67" s="36">
        <v>6190</v>
      </c>
      <c r="K67" s="36"/>
      <c r="L67" s="36">
        <v>0</v>
      </c>
      <c r="M67" s="36"/>
      <c r="N67" s="36">
        <f t="shared" si="0"/>
        <v>150000</v>
      </c>
      <c r="O67" s="36"/>
      <c r="P67" s="36">
        <v>150000</v>
      </c>
      <c r="Q67" s="36"/>
      <c r="R67" s="36">
        <v>150000</v>
      </c>
    </row>
    <row r="68" spans="1:18" s="7" customFormat="1" ht="12.75" hidden="1" customHeight="1" x14ac:dyDescent="0.2">
      <c r="A68" s="86" t="s">
        <v>165</v>
      </c>
      <c r="B68" s="111"/>
      <c r="C68" s="111"/>
      <c r="E68" s="112">
        <v>5</v>
      </c>
      <c r="F68" s="113" t="s">
        <v>12</v>
      </c>
      <c r="G68" s="112" t="s">
        <v>74</v>
      </c>
      <c r="H68" s="112" t="s">
        <v>15</v>
      </c>
      <c r="J68" s="36"/>
      <c r="K68" s="36"/>
      <c r="L68" s="36"/>
      <c r="M68" s="36"/>
      <c r="N68" s="36">
        <f t="shared" si="0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78</v>
      </c>
      <c r="B69" s="111"/>
      <c r="C69" s="111"/>
      <c r="E69" s="112">
        <v>5</v>
      </c>
      <c r="F69" s="113" t="s">
        <v>12</v>
      </c>
      <c r="G69" s="112" t="s">
        <v>79</v>
      </c>
      <c r="H69" s="112" t="s">
        <v>10</v>
      </c>
      <c r="J69" s="36"/>
      <c r="K69" s="36"/>
      <c r="L69" s="36"/>
      <c r="M69" s="36"/>
      <c r="N69" s="36">
        <f t="shared" si="0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80</v>
      </c>
      <c r="B70" s="111"/>
      <c r="C70" s="111"/>
      <c r="E70" s="112">
        <v>5</v>
      </c>
      <c r="F70" s="113" t="s">
        <v>12</v>
      </c>
      <c r="G70" s="112" t="s">
        <v>79</v>
      </c>
      <c r="H70" s="112" t="s">
        <v>15</v>
      </c>
      <c r="J70" s="36"/>
      <c r="K70" s="36"/>
      <c r="L70" s="36"/>
      <c r="M70" s="36"/>
      <c r="N70" s="36">
        <f t="shared" si="0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169</v>
      </c>
      <c r="B71" s="111"/>
      <c r="C71" s="111"/>
      <c r="E71" s="112">
        <v>5</v>
      </c>
      <c r="F71" s="113" t="s">
        <v>12</v>
      </c>
      <c r="G71" s="112" t="s">
        <v>79</v>
      </c>
      <c r="H71" s="113" t="s">
        <v>60</v>
      </c>
      <c r="J71" s="36"/>
      <c r="K71" s="36"/>
      <c r="L71" s="36"/>
      <c r="M71" s="36"/>
      <c r="N71" s="36">
        <f t="shared" si="0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170</v>
      </c>
      <c r="B72" s="111"/>
      <c r="C72" s="111"/>
      <c r="E72" s="112">
        <v>5</v>
      </c>
      <c r="F72" s="113" t="s">
        <v>12</v>
      </c>
      <c r="G72" s="112" t="s">
        <v>79</v>
      </c>
      <c r="H72" s="113" t="s">
        <v>19</v>
      </c>
      <c r="J72" s="36"/>
      <c r="K72" s="36"/>
      <c r="L72" s="36"/>
      <c r="M72" s="36"/>
      <c r="N72" s="36">
        <f t="shared" si="0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171</v>
      </c>
      <c r="B73" s="111"/>
      <c r="C73" s="111"/>
      <c r="E73" s="112">
        <v>5</v>
      </c>
      <c r="F73" s="113" t="s">
        <v>12</v>
      </c>
      <c r="G73" s="112" t="s">
        <v>79</v>
      </c>
      <c r="H73" s="113" t="s">
        <v>82</v>
      </c>
      <c r="J73" s="36"/>
      <c r="K73" s="36"/>
      <c r="L73" s="36"/>
      <c r="M73" s="36"/>
      <c r="N73" s="36">
        <f t="shared" si="0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81</v>
      </c>
      <c r="B74" s="111"/>
      <c r="C74" s="111"/>
      <c r="E74" s="112">
        <v>5</v>
      </c>
      <c r="F74" s="113" t="s">
        <v>12</v>
      </c>
      <c r="G74" s="112" t="s">
        <v>59</v>
      </c>
      <c r="H74" s="113" t="s">
        <v>82</v>
      </c>
      <c r="J74" s="36"/>
      <c r="K74" s="36"/>
      <c r="L74" s="36"/>
      <c r="M74" s="36"/>
      <c r="N74" s="36">
        <f t="shared" si="0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83</v>
      </c>
      <c r="B75" s="111"/>
      <c r="C75" s="111"/>
      <c r="E75" s="112">
        <v>5</v>
      </c>
      <c r="F75" s="113" t="s">
        <v>12</v>
      </c>
      <c r="G75" s="112" t="s">
        <v>84</v>
      </c>
      <c r="H75" s="113" t="s">
        <v>8</v>
      </c>
      <c r="J75" s="36"/>
      <c r="K75" s="36"/>
      <c r="L75" s="36"/>
      <c r="M75" s="36"/>
      <c r="N75" s="36">
        <f t="shared" si="0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85</v>
      </c>
      <c r="B76" s="111"/>
      <c r="C76" s="111"/>
      <c r="E76" s="112">
        <v>5</v>
      </c>
      <c r="F76" s="113" t="s">
        <v>12</v>
      </c>
      <c r="G76" s="112" t="s">
        <v>84</v>
      </c>
      <c r="H76" s="113" t="s">
        <v>10</v>
      </c>
      <c r="J76" s="36"/>
      <c r="K76" s="36"/>
      <c r="L76" s="36"/>
      <c r="M76" s="36"/>
      <c r="N76" s="36">
        <f t="shared" si="0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86</v>
      </c>
      <c r="B77" s="111"/>
      <c r="C77" s="111"/>
      <c r="E77" s="112">
        <v>5</v>
      </c>
      <c r="F77" s="113" t="s">
        <v>12</v>
      </c>
      <c r="G77" s="112" t="s">
        <v>84</v>
      </c>
      <c r="H77" s="113" t="s">
        <v>15</v>
      </c>
      <c r="J77" s="36"/>
      <c r="K77" s="36"/>
      <c r="L77" s="36"/>
      <c r="M77" s="36"/>
      <c r="N77" s="36">
        <f t="shared" si="0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172</v>
      </c>
      <c r="B78" s="111"/>
      <c r="C78" s="111"/>
      <c r="E78" s="112">
        <v>5</v>
      </c>
      <c r="F78" s="113" t="s">
        <v>12</v>
      </c>
      <c r="G78" s="112" t="s">
        <v>174</v>
      </c>
      <c r="H78" s="113" t="s">
        <v>8</v>
      </c>
      <c r="J78" s="36"/>
      <c r="K78" s="36"/>
      <c r="L78" s="36"/>
      <c r="M78" s="36"/>
      <c r="N78" s="36">
        <f t="shared" si="0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173</v>
      </c>
      <c r="B79" s="111"/>
      <c r="C79" s="111"/>
      <c r="E79" s="112">
        <v>5</v>
      </c>
      <c r="F79" s="113" t="s">
        <v>12</v>
      </c>
      <c r="G79" s="112" t="s">
        <v>174</v>
      </c>
      <c r="H79" s="113" t="s">
        <v>10</v>
      </c>
      <c r="J79" s="36"/>
      <c r="K79" s="36"/>
      <c r="L79" s="36"/>
      <c r="M79" s="36"/>
      <c r="N79" s="36">
        <f t="shared" ref="N79:N82" si="1">P79-L79</f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87</v>
      </c>
      <c r="B80" s="111"/>
      <c r="C80" s="111"/>
      <c r="E80" s="112">
        <v>5</v>
      </c>
      <c r="F80" s="113" t="s">
        <v>12</v>
      </c>
      <c r="G80" s="112" t="s">
        <v>174</v>
      </c>
      <c r="H80" s="113" t="s">
        <v>15</v>
      </c>
      <c r="J80" s="36"/>
      <c r="K80" s="36"/>
      <c r="L80" s="36"/>
      <c r="M80" s="36"/>
      <c r="N80" s="36">
        <f t="shared" si="1"/>
        <v>0</v>
      </c>
      <c r="O80" s="36"/>
      <c r="P80" s="36"/>
      <c r="Q80" s="36"/>
      <c r="R80" s="36"/>
    </row>
    <row r="81" spans="1:18" s="7" customFormat="1" ht="12.75" customHeight="1" x14ac:dyDescent="0.2">
      <c r="A81" s="86" t="s">
        <v>63</v>
      </c>
      <c r="B81" s="111"/>
      <c r="C81" s="111"/>
      <c r="E81" s="112">
        <v>5</v>
      </c>
      <c r="F81" s="113" t="s">
        <v>12</v>
      </c>
      <c r="G81" s="112" t="s">
        <v>59</v>
      </c>
      <c r="H81" s="112" t="s">
        <v>64</v>
      </c>
      <c r="J81" s="36">
        <v>0</v>
      </c>
      <c r="K81" s="36"/>
      <c r="L81" s="36">
        <v>0</v>
      </c>
      <c r="M81" s="36"/>
      <c r="N81" s="36">
        <f t="shared" si="1"/>
        <v>0</v>
      </c>
      <c r="O81" s="36"/>
      <c r="P81" s="36">
        <v>0</v>
      </c>
      <c r="Q81" s="36"/>
      <c r="R81" s="36"/>
    </row>
    <row r="82" spans="1:18" s="7" customFormat="1" ht="12.75" customHeight="1" x14ac:dyDescent="0.2">
      <c r="A82" s="86" t="s">
        <v>260</v>
      </c>
      <c r="B82" s="111"/>
      <c r="C82" s="111"/>
      <c r="E82" s="112">
        <v>5</v>
      </c>
      <c r="F82" s="113" t="s">
        <v>12</v>
      </c>
      <c r="G82" s="134">
        <v>99</v>
      </c>
      <c r="H82" s="135">
        <v>990</v>
      </c>
      <c r="J82" s="36">
        <v>0</v>
      </c>
      <c r="K82" s="36"/>
      <c r="L82" s="36"/>
      <c r="M82" s="36"/>
      <c r="N82" s="36">
        <f t="shared" si="1"/>
        <v>50000</v>
      </c>
      <c r="O82" s="36"/>
      <c r="P82" s="36">
        <v>50000</v>
      </c>
      <c r="Q82" s="36"/>
      <c r="R82" s="36">
        <v>50000</v>
      </c>
    </row>
    <row r="83" spans="1:18" s="7" customFormat="1" ht="18" customHeight="1" x14ac:dyDescent="0.2">
      <c r="A83" s="314" t="s">
        <v>191</v>
      </c>
      <c r="B83" s="314"/>
      <c r="C83" s="314"/>
      <c r="J83" s="161">
        <f>SUM(J16:J82)</f>
        <v>6882240.0899999999</v>
      </c>
      <c r="K83" s="162"/>
      <c r="L83" s="161">
        <f>SUM(L16:L82)</f>
        <v>713750.58</v>
      </c>
      <c r="M83" s="36"/>
      <c r="N83" s="161">
        <f>SUM(N16:N82)</f>
        <v>8666249.4199999999</v>
      </c>
      <c r="O83" s="36"/>
      <c r="P83" s="161">
        <f>SUM(P16:P82)</f>
        <v>9380000</v>
      </c>
      <c r="Q83" s="36"/>
      <c r="R83" s="161">
        <f>SUM(R16:R82)</f>
        <v>9380000</v>
      </c>
    </row>
    <row r="84" spans="1:18" s="7" customFormat="1" ht="6" customHeight="1" x14ac:dyDescent="0.2">
      <c r="A84" s="20"/>
      <c r="B84" s="20"/>
      <c r="C84" s="20"/>
      <c r="J84" s="162"/>
      <c r="K84" s="162"/>
      <c r="L84" s="36"/>
      <c r="M84" s="36"/>
      <c r="N84" s="36"/>
      <c r="O84" s="36"/>
      <c r="P84" s="36"/>
      <c r="Q84" s="36"/>
      <c r="R84" s="36"/>
    </row>
    <row r="85" spans="1:18" s="7" customFormat="1" ht="12.75" customHeight="1" x14ac:dyDescent="0.2">
      <c r="A85" s="68" t="s">
        <v>190</v>
      </c>
      <c r="B85" s="11"/>
      <c r="C85" s="11"/>
      <c r="J85" s="36"/>
      <c r="K85" s="36"/>
      <c r="L85" s="36"/>
      <c r="M85" s="36"/>
      <c r="N85" s="36"/>
      <c r="O85" s="36"/>
      <c r="P85" s="36"/>
      <c r="Q85" s="36"/>
      <c r="R85" s="36"/>
    </row>
    <row r="86" spans="1:18" s="7" customFormat="1" ht="12.75" hidden="1" customHeight="1" x14ac:dyDescent="0.2">
      <c r="A86" s="11" t="s">
        <v>89</v>
      </c>
      <c r="B86" s="24"/>
      <c r="C86" s="24"/>
      <c r="J86" s="36"/>
      <c r="K86" s="36"/>
      <c r="L86" s="36"/>
      <c r="M86" s="36"/>
      <c r="N86" s="36"/>
      <c r="O86" s="36"/>
      <c r="P86" s="36"/>
      <c r="Q86" s="36"/>
      <c r="R86" s="36"/>
    </row>
    <row r="87" spans="1:18" s="7" customFormat="1" ht="12.75" hidden="1" customHeight="1" x14ac:dyDescent="0.2">
      <c r="A87" s="70" t="s">
        <v>90</v>
      </c>
      <c r="B87" s="9"/>
      <c r="C87" s="9"/>
      <c r="E87" s="112">
        <v>1</v>
      </c>
      <c r="F87" s="113" t="s">
        <v>12</v>
      </c>
      <c r="G87" s="112" t="s">
        <v>54</v>
      </c>
      <c r="H87" s="114" t="s">
        <v>10</v>
      </c>
      <c r="J87" s="36"/>
      <c r="K87" s="36"/>
      <c r="L87" s="36"/>
      <c r="M87" s="36"/>
      <c r="N87" s="36"/>
      <c r="O87" s="36"/>
      <c r="P87" s="36"/>
      <c r="Q87" s="36"/>
      <c r="R87" s="36"/>
    </row>
    <row r="88" spans="1:18" s="7" customFormat="1" ht="12.75" hidden="1" customHeight="1" x14ac:dyDescent="0.2">
      <c r="A88" s="86" t="s">
        <v>92</v>
      </c>
      <c r="B88" s="111"/>
      <c r="C88" s="111"/>
      <c r="E88" s="112">
        <v>1</v>
      </c>
      <c r="F88" s="113" t="s">
        <v>93</v>
      </c>
      <c r="G88" s="112" t="s">
        <v>7</v>
      </c>
      <c r="H88" s="112" t="s">
        <v>8</v>
      </c>
      <c r="J88" s="36"/>
      <c r="K88" s="36"/>
      <c r="L88" s="36"/>
      <c r="M88" s="36"/>
      <c r="N88" s="36"/>
      <c r="O88" s="36"/>
      <c r="P88" s="36"/>
      <c r="Q88" s="36"/>
      <c r="R88" s="36"/>
    </row>
    <row r="89" spans="1:18" s="7" customFormat="1" ht="12.75" hidden="1" customHeight="1" x14ac:dyDescent="0.2">
      <c r="A89" s="86" t="s">
        <v>94</v>
      </c>
      <c r="B89" s="111"/>
      <c r="C89" s="111"/>
      <c r="E89" s="112">
        <v>1</v>
      </c>
      <c r="F89" s="113" t="s">
        <v>93</v>
      </c>
      <c r="G89" s="112" t="s">
        <v>34</v>
      </c>
      <c r="H89" s="112" t="s">
        <v>8</v>
      </c>
      <c r="J89" s="36"/>
      <c r="K89" s="36"/>
      <c r="L89" s="36"/>
      <c r="M89" s="36"/>
      <c r="N89" s="36"/>
      <c r="O89" s="36"/>
      <c r="P89" s="36"/>
      <c r="Q89" s="36"/>
      <c r="R89" s="36"/>
    </row>
    <row r="90" spans="1:18" s="7" customFormat="1" ht="12.75" hidden="1" customHeight="1" x14ac:dyDescent="0.2">
      <c r="A90" s="86" t="s">
        <v>95</v>
      </c>
      <c r="B90" s="116"/>
      <c r="C90" s="116"/>
      <c r="E90" s="112">
        <v>1</v>
      </c>
      <c r="F90" s="113" t="s">
        <v>93</v>
      </c>
      <c r="G90" s="112" t="s">
        <v>34</v>
      </c>
      <c r="H90" s="112" t="s">
        <v>49</v>
      </c>
      <c r="J90" s="36"/>
      <c r="K90" s="36"/>
      <c r="L90" s="36"/>
      <c r="M90" s="36"/>
      <c r="N90" s="36"/>
      <c r="O90" s="36"/>
      <c r="P90" s="36"/>
      <c r="Q90" s="36"/>
      <c r="R90" s="36"/>
    </row>
    <row r="91" spans="1:18" s="7" customFormat="1" ht="12.75" hidden="1" customHeight="1" x14ac:dyDescent="0.2">
      <c r="A91" s="86" t="s">
        <v>96</v>
      </c>
      <c r="B91" s="116"/>
      <c r="C91" s="116"/>
      <c r="D91" s="113"/>
      <c r="E91" s="112">
        <v>1</v>
      </c>
      <c r="F91" s="113" t="s">
        <v>93</v>
      </c>
      <c r="G91" s="112" t="s">
        <v>54</v>
      </c>
      <c r="H91" s="112" t="s">
        <v>10</v>
      </c>
      <c r="J91" s="36"/>
      <c r="K91" s="36"/>
      <c r="L91" s="36"/>
      <c r="M91" s="36"/>
      <c r="N91" s="36"/>
      <c r="O91" s="36"/>
      <c r="P91" s="36"/>
      <c r="Q91" s="36"/>
      <c r="R91" s="36"/>
    </row>
    <row r="92" spans="1:18" s="7" customFormat="1" ht="6" customHeight="1" x14ac:dyDescent="0.2">
      <c r="A92" s="86"/>
      <c r="B92" s="116"/>
      <c r="C92" s="116"/>
      <c r="D92" s="113"/>
      <c r="E92" s="112"/>
      <c r="F92" s="113"/>
      <c r="G92" s="112"/>
      <c r="H92" s="112"/>
      <c r="J92" s="36"/>
      <c r="K92" s="36"/>
      <c r="L92" s="36"/>
      <c r="M92" s="36"/>
      <c r="N92" s="36"/>
      <c r="O92" s="36"/>
      <c r="P92" s="36"/>
      <c r="Q92" s="36"/>
      <c r="R92" s="36"/>
    </row>
    <row r="93" spans="1:18" s="7" customFormat="1" ht="12.75" customHeight="1" x14ac:dyDescent="0.2">
      <c r="A93" s="86" t="s">
        <v>90</v>
      </c>
      <c r="B93" s="111"/>
      <c r="C93" s="111"/>
      <c r="E93" s="112">
        <v>1</v>
      </c>
      <c r="F93" s="128" t="s">
        <v>12</v>
      </c>
      <c r="G93" s="179" t="s">
        <v>54</v>
      </c>
      <c r="H93" s="179" t="s">
        <v>10</v>
      </c>
      <c r="J93" s="36">
        <v>58593.84</v>
      </c>
      <c r="K93" s="36"/>
      <c r="L93" s="36">
        <v>0</v>
      </c>
      <c r="M93" s="36"/>
      <c r="N93" s="36">
        <f t="shared" ref="N93:N105" si="2">P93-L93</f>
        <v>100000</v>
      </c>
      <c r="O93" s="36"/>
      <c r="P93" s="36">
        <v>100000</v>
      </c>
      <c r="Q93" s="36"/>
      <c r="R93" s="36"/>
    </row>
    <row r="94" spans="1:18" s="7" customFormat="1" ht="12.75" hidden="1" customHeight="1" x14ac:dyDescent="0.2">
      <c r="A94" s="86" t="s">
        <v>98</v>
      </c>
      <c r="B94" s="116"/>
      <c r="C94" s="116"/>
      <c r="E94" s="112">
        <v>1</v>
      </c>
      <c r="F94" s="113" t="s">
        <v>93</v>
      </c>
      <c r="G94" s="112" t="s">
        <v>54</v>
      </c>
      <c r="H94" s="112" t="s">
        <v>15</v>
      </c>
      <c r="N94" s="7">
        <f t="shared" si="2"/>
        <v>0</v>
      </c>
    </row>
    <row r="95" spans="1:18" s="7" customFormat="1" ht="12.75" hidden="1" customHeight="1" x14ac:dyDescent="0.2">
      <c r="A95" s="86" t="s">
        <v>99</v>
      </c>
      <c r="B95" s="116"/>
      <c r="C95" s="116"/>
      <c r="D95" s="113"/>
      <c r="E95" s="112">
        <v>1</v>
      </c>
      <c r="F95" s="113" t="s">
        <v>93</v>
      </c>
      <c r="G95" s="112" t="s">
        <v>93</v>
      </c>
      <c r="H95" s="112" t="s">
        <v>10</v>
      </c>
      <c r="N95" s="7">
        <f t="shared" si="2"/>
        <v>0</v>
      </c>
    </row>
    <row r="96" spans="1:18" s="7" customFormat="1" ht="12.75" hidden="1" customHeight="1" x14ac:dyDescent="0.2">
      <c r="A96" s="86" t="s">
        <v>100</v>
      </c>
      <c r="B96" s="111"/>
      <c r="C96" s="111"/>
      <c r="E96" s="112">
        <v>1</v>
      </c>
      <c r="F96" s="113" t="s">
        <v>93</v>
      </c>
      <c r="G96" s="112" t="s">
        <v>54</v>
      </c>
      <c r="H96" s="112" t="s">
        <v>19</v>
      </c>
      <c r="N96" s="7">
        <f t="shared" si="2"/>
        <v>0</v>
      </c>
    </row>
    <row r="97" spans="1:18" s="7" customFormat="1" ht="12.75" hidden="1" customHeight="1" x14ac:dyDescent="0.2">
      <c r="A97" s="86" t="s">
        <v>175</v>
      </c>
      <c r="B97" s="111"/>
      <c r="C97" s="111"/>
      <c r="E97" s="112">
        <v>1</v>
      </c>
      <c r="F97" s="113" t="s">
        <v>93</v>
      </c>
      <c r="G97" s="112" t="s">
        <v>54</v>
      </c>
      <c r="H97" s="112" t="s">
        <v>82</v>
      </c>
      <c r="N97" s="7">
        <f t="shared" si="2"/>
        <v>0</v>
      </c>
    </row>
    <row r="98" spans="1:18" s="7" customFormat="1" ht="12.75" hidden="1" customHeight="1" x14ac:dyDescent="0.2">
      <c r="A98" s="86" t="s">
        <v>176</v>
      </c>
      <c r="B98" s="111"/>
      <c r="C98" s="111"/>
      <c r="E98" s="112">
        <v>1</v>
      </c>
      <c r="F98" s="113" t="s">
        <v>93</v>
      </c>
      <c r="G98" s="112" t="s">
        <v>54</v>
      </c>
      <c r="H98" s="112" t="s">
        <v>45</v>
      </c>
      <c r="N98" s="7">
        <f t="shared" si="2"/>
        <v>0</v>
      </c>
    </row>
    <row r="99" spans="1:18" s="7" customFormat="1" ht="12.75" hidden="1" customHeight="1" x14ac:dyDescent="0.2">
      <c r="A99" s="86" t="s">
        <v>177</v>
      </c>
      <c r="B99" s="111"/>
      <c r="C99" s="111"/>
      <c r="E99" s="112">
        <v>1</v>
      </c>
      <c r="F99" s="113" t="s">
        <v>93</v>
      </c>
      <c r="G99" s="112" t="s">
        <v>54</v>
      </c>
      <c r="H99" s="112" t="s">
        <v>146</v>
      </c>
      <c r="N99" s="7">
        <f t="shared" si="2"/>
        <v>0</v>
      </c>
    </row>
    <row r="100" spans="1:18" s="7" customFormat="1" ht="12.75" hidden="1" customHeight="1" x14ac:dyDescent="0.2">
      <c r="A100" s="86" t="s">
        <v>101</v>
      </c>
      <c r="B100" s="111"/>
      <c r="C100" s="111"/>
      <c r="E100" s="112">
        <v>1</v>
      </c>
      <c r="F100" s="113" t="s">
        <v>93</v>
      </c>
      <c r="G100" s="112" t="s">
        <v>54</v>
      </c>
      <c r="H100" s="112" t="s">
        <v>102</v>
      </c>
      <c r="N100" s="7">
        <f t="shared" si="2"/>
        <v>0</v>
      </c>
    </row>
    <row r="101" spans="1:18" s="7" customFormat="1" ht="12.75" hidden="1" customHeight="1" x14ac:dyDescent="0.2">
      <c r="A101" s="86" t="s">
        <v>103</v>
      </c>
      <c r="B101" s="111"/>
      <c r="C101" s="111"/>
      <c r="E101" s="112">
        <v>1</v>
      </c>
      <c r="F101" s="113" t="s">
        <v>93</v>
      </c>
      <c r="G101" s="112" t="s">
        <v>54</v>
      </c>
      <c r="H101" s="112" t="s">
        <v>24</v>
      </c>
      <c r="N101" s="7">
        <f t="shared" si="2"/>
        <v>0</v>
      </c>
    </row>
    <row r="102" spans="1:18" s="7" customFormat="1" ht="12.75" hidden="1" customHeight="1" x14ac:dyDescent="0.2">
      <c r="A102" s="86" t="s">
        <v>104</v>
      </c>
      <c r="B102" s="111"/>
      <c r="C102" s="111"/>
      <c r="E102" s="112">
        <v>1</v>
      </c>
      <c r="F102" s="113" t="s">
        <v>93</v>
      </c>
      <c r="G102" s="112" t="s">
        <v>54</v>
      </c>
      <c r="H102" s="112" t="s">
        <v>28</v>
      </c>
      <c r="N102" s="7">
        <f t="shared" si="2"/>
        <v>0</v>
      </c>
    </row>
    <row r="103" spans="1:18" s="7" customFormat="1" ht="12.75" hidden="1" customHeight="1" x14ac:dyDescent="0.2">
      <c r="A103" s="86" t="s">
        <v>105</v>
      </c>
      <c r="B103" s="111"/>
      <c r="C103" s="111"/>
      <c r="D103" s="113"/>
      <c r="E103" s="112">
        <v>1</v>
      </c>
      <c r="F103" s="113" t="s">
        <v>93</v>
      </c>
      <c r="G103" s="112" t="s">
        <v>54</v>
      </c>
      <c r="H103" s="114" t="s">
        <v>49</v>
      </c>
      <c r="N103" s="7">
        <f t="shared" si="2"/>
        <v>0</v>
      </c>
    </row>
    <row r="104" spans="1:18" s="7" customFormat="1" ht="12.75" hidden="1" customHeight="1" x14ac:dyDescent="0.2">
      <c r="A104" s="86" t="s">
        <v>106</v>
      </c>
      <c r="B104" s="111"/>
      <c r="C104" s="111"/>
      <c r="D104" s="113"/>
      <c r="E104" s="112">
        <v>1</v>
      </c>
      <c r="F104" s="113" t="s">
        <v>93</v>
      </c>
      <c r="G104" s="112" t="s">
        <v>67</v>
      </c>
      <c r="H104" s="112" t="s">
        <v>8</v>
      </c>
      <c r="N104" s="7">
        <f t="shared" si="2"/>
        <v>0</v>
      </c>
    </row>
    <row r="105" spans="1:18" s="7" customFormat="1" ht="12.75" hidden="1" customHeight="1" x14ac:dyDescent="0.2">
      <c r="A105" s="86" t="s">
        <v>107</v>
      </c>
      <c r="B105" s="111"/>
      <c r="C105" s="111"/>
      <c r="D105" s="113"/>
      <c r="E105" s="112">
        <v>1</v>
      </c>
      <c r="F105" s="113" t="s">
        <v>93</v>
      </c>
      <c r="G105" s="112" t="s">
        <v>59</v>
      </c>
      <c r="H105" s="114" t="s">
        <v>49</v>
      </c>
      <c r="N105" s="7">
        <f t="shared" si="2"/>
        <v>0</v>
      </c>
    </row>
    <row r="106" spans="1:18" s="7" customFormat="1" ht="12.75" hidden="1" customHeight="1" x14ac:dyDescent="0.2">
      <c r="A106" s="86" t="s">
        <v>178</v>
      </c>
      <c r="B106" s="111"/>
      <c r="C106" s="111"/>
      <c r="D106" s="113"/>
      <c r="E106" s="112">
        <v>1</v>
      </c>
      <c r="F106" s="113" t="s">
        <v>93</v>
      </c>
      <c r="G106" s="112" t="s">
        <v>29</v>
      </c>
      <c r="H106" s="112" t="s">
        <v>8</v>
      </c>
    </row>
    <row r="107" spans="1:18" s="7" customFormat="1" ht="12.75" hidden="1" customHeight="1" x14ac:dyDescent="0.2">
      <c r="A107" s="86" t="s">
        <v>179</v>
      </c>
      <c r="B107" s="111"/>
      <c r="C107" s="111"/>
      <c r="D107" s="113"/>
      <c r="E107" s="112">
        <v>1</v>
      </c>
      <c r="F107" s="113" t="s">
        <v>93</v>
      </c>
      <c r="G107" s="112" t="s">
        <v>29</v>
      </c>
      <c r="H107" s="112" t="s">
        <v>45</v>
      </c>
    </row>
    <row r="108" spans="1:18" s="27" customFormat="1" ht="18.95" customHeight="1" x14ac:dyDescent="0.2">
      <c r="A108" s="63" t="s">
        <v>108</v>
      </c>
      <c r="B108" s="26"/>
      <c r="C108" s="26"/>
      <c r="J108" s="21">
        <f>SUM(J88:J107)</f>
        <v>58593.84</v>
      </c>
      <c r="K108" s="23"/>
      <c r="L108" s="21">
        <f>SUM(L88:L103)</f>
        <v>0</v>
      </c>
      <c r="N108" s="21">
        <f>SUM(N88:N103)</f>
        <v>100000</v>
      </c>
      <c r="P108" s="21">
        <f>SUM(P88:P103)</f>
        <v>100000</v>
      </c>
      <c r="R108" s="21">
        <f>SUM(R88:R103)</f>
        <v>0</v>
      </c>
    </row>
    <row r="109" spans="1:18" s="7" customFormat="1" ht="6" customHeight="1" x14ac:dyDescent="0.2"/>
    <row r="110" spans="1:18" s="7" customFormat="1" ht="16.5" customHeight="1" thickBot="1" x14ac:dyDescent="0.25">
      <c r="A110" s="28" t="s">
        <v>110</v>
      </c>
      <c r="B110" s="28"/>
      <c r="C110" s="28"/>
      <c r="J110" s="29">
        <f>J83+J108</f>
        <v>6940833.9299999997</v>
      </c>
      <c r="K110" s="23"/>
      <c r="L110" s="29">
        <f>L83+L108</f>
        <v>713750.58</v>
      </c>
      <c r="N110" s="29">
        <f>N83+N108</f>
        <v>8766249.4199999999</v>
      </c>
      <c r="P110" s="29">
        <f>P83+P108</f>
        <v>9480000</v>
      </c>
      <c r="R110" s="29">
        <f>R83+R108</f>
        <v>9380000</v>
      </c>
    </row>
    <row r="111" spans="1:18" s="7" customFormat="1" ht="16.5" customHeight="1" thickTop="1" x14ac:dyDescent="0.2">
      <c r="A111" s="28"/>
      <c r="B111" s="28"/>
      <c r="C111" s="28"/>
      <c r="J111" s="23"/>
      <c r="K111" s="23"/>
      <c r="L111" s="23"/>
      <c r="N111" s="23"/>
      <c r="P111" s="23"/>
      <c r="R111" s="23"/>
    </row>
    <row r="112" spans="1:18" s="7" customFormat="1" x14ac:dyDescent="0.2">
      <c r="A112" s="31"/>
      <c r="B112" s="31"/>
      <c r="C112" s="31"/>
      <c r="D112" s="34"/>
      <c r="E112" s="31"/>
      <c r="F112" s="31"/>
      <c r="H112" s="35"/>
      <c r="I112" s="35"/>
      <c r="J112" s="35"/>
      <c r="K112" s="35"/>
      <c r="L112" s="35"/>
      <c r="M112" s="35"/>
    </row>
    <row r="113" spans="1:16" x14ac:dyDescent="0.2">
      <c r="A113" s="321" t="s">
        <v>133</v>
      </c>
      <c r="B113" s="321"/>
      <c r="C113" s="321"/>
      <c r="D113" s="33"/>
      <c r="E113" s="32"/>
      <c r="G113" s="31"/>
      <c r="I113" s="31"/>
      <c r="J113" s="321" t="s">
        <v>276</v>
      </c>
      <c r="K113" s="321"/>
      <c r="L113" s="321"/>
      <c r="M113" s="47"/>
      <c r="N113" s="49"/>
      <c r="O113" s="49"/>
      <c r="P113" s="48" t="s">
        <v>135</v>
      </c>
    </row>
    <row r="114" spans="1:16" x14ac:dyDescent="0.2">
      <c r="A114" s="50"/>
      <c r="D114" s="33"/>
      <c r="E114" s="51"/>
      <c r="G114" s="31"/>
      <c r="I114" s="31"/>
      <c r="J114" s="168"/>
      <c r="M114" s="30"/>
      <c r="N114" s="36"/>
      <c r="O114" s="36"/>
      <c r="P114" s="51"/>
    </row>
    <row r="115" spans="1:16" x14ac:dyDescent="0.2">
      <c r="A115" s="52"/>
      <c r="D115" s="31"/>
      <c r="E115" s="53"/>
      <c r="G115" s="31"/>
      <c r="I115" s="31"/>
      <c r="J115" s="31"/>
      <c r="M115" s="31"/>
      <c r="P115" s="53"/>
    </row>
    <row r="116" spans="1:16" x14ac:dyDescent="0.2">
      <c r="A116" s="322" t="s">
        <v>287</v>
      </c>
      <c r="B116" s="322"/>
      <c r="C116" s="322"/>
      <c r="D116" s="55"/>
      <c r="E116" s="56"/>
      <c r="G116" s="31"/>
      <c r="I116" s="31"/>
      <c r="J116" s="322" t="s">
        <v>291</v>
      </c>
      <c r="K116" s="322"/>
      <c r="L116" s="322"/>
      <c r="M116" s="57"/>
      <c r="N116" s="59"/>
      <c r="O116" s="59"/>
      <c r="P116" s="58" t="s">
        <v>137</v>
      </c>
    </row>
    <row r="117" spans="1:16" x14ac:dyDescent="0.2">
      <c r="A117" s="321" t="s">
        <v>303</v>
      </c>
      <c r="B117" s="321"/>
      <c r="C117" s="321"/>
      <c r="D117" s="31"/>
      <c r="E117" s="32"/>
      <c r="G117" s="31"/>
      <c r="I117" s="31"/>
      <c r="J117" s="321" t="s">
        <v>269</v>
      </c>
      <c r="K117" s="321"/>
      <c r="L117" s="321"/>
      <c r="M117" s="33"/>
      <c r="N117" s="35"/>
      <c r="O117" s="35"/>
      <c r="P117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84" activePane="bottomRight" state="frozen"/>
      <selection pane="bottomRight" activeCell="R110" sqref="R110"/>
      <pageMargins left="0.75" right="0.5" top="0.8" bottom="0.8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93" activePane="bottomRight" state="frozen"/>
      <selection pane="bottomRight" activeCell="C108" sqref="C108"/>
      <pageMargins left="0.75" right="0.5" top="0.8" bottom="0.8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C64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DE3A1FFE-44A0-41BD-98AB-2A2226968564}" showPageBreaks="1" printArea="1" hiddenRows="1" view="pageBreakPreview">
      <pane xSplit="1" ySplit="14" topLeftCell="B67" activePane="bottomRight" state="frozen"/>
      <selection pane="bottomRight" activeCell="R112" sqref="R112"/>
      <pageMargins left="0.75" right="0.5" top="0.8" bottom="0.8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EE975321-C15E-44A7-AFC6-A307116A4F6E}" showPageBreaks="1" printArea="1" hiddenRows="1" view="pageBreakPreview">
      <pane xSplit="1" ySplit="14" topLeftCell="B64" activePane="bottomRight" state="frozen"/>
      <selection pane="bottomRight" activeCell="R82" sqref="R82"/>
      <pageMargins left="0.75" right="0.5" top="0.8" bottom="0.8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J113:L113"/>
    <mergeCell ref="J116:L116"/>
    <mergeCell ref="J117:L117"/>
    <mergeCell ref="A13:C13"/>
    <mergeCell ref="E13:H13"/>
    <mergeCell ref="A83:C83"/>
    <mergeCell ref="A116:C116"/>
    <mergeCell ref="A117:C117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8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5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48" sqref="A48:XFD4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1.109375" style="1" bestFit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8"/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94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94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93"/>
      <c r="B12" s="193"/>
      <c r="C12" s="193"/>
      <c r="D12" s="9"/>
      <c r="E12" s="193"/>
      <c r="F12" s="193"/>
      <c r="G12" s="193"/>
      <c r="H12" s="19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95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ht="15" customHeight="1" x14ac:dyDescent="0.2">
      <c r="A15" s="209" t="s">
        <v>344</v>
      </c>
      <c r="B15" s="209"/>
      <c r="C15" s="209"/>
      <c r="E15" s="326" t="s">
        <v>343</v>
      </c>
      <c r="F15" s="326"/>
      <c r="G15" s="326"/>
      <c r="H15" s="326"/>
      <c r="K15" s="7"/>
      <c r="M15" s="7"/>
      <c r="O15" s="7"/>
      <c r="Q15" s="7"/>
    </row>
    <row r="16" spans="1:19" ht="15" hidden="1" customHeight="1" x14ac:dyDescent="0.2">
      <c r="K16" s="7"/>
      <c r="M16" s="7"/>
      <c r="O16" s="7"/>
      <c r="Q16" s="7"/>
    </row>
    <row r="17" spans="1:20" ht="15" customHeight="1" x14ac:dyDescent="0.2">
      <c r="A17" s="136" t="s">
        <v>188</v>
      </c>
      <c r="K17" s="7"/>
      <c r="M17" s="7"/>
      <c r="N17" s="173"/>
      <c r="O17" s="7"/>
      <c r="Q17" s="7"/>
    </row>
    <row r="18" spans="1:20" ht="15" hidden="1" customHeight="1" x14ac:dyDescent="0.2">
      <c r="A18" s="184" t="s">
        <v>320</v>
      </c>
      <c r="E18" s="32">
        <v>5</v>
      </c>
      <c r="F18" s="138" t="s">
        <v>12</v>
      </c>
      <c r="G18" s="139">
        <v>8</v>
      </c>
      <c r="H18" s="140" t="s">
        <v>8</v>
      </c>
      <c r="K18" s="7"/>
      <c r="M18" s="7"/>
      <c r="N18" s="173"/>
      <c r="O18" s="7"/>
      <c r="Q18" s="7"/>
    </row>
    <row r="19" spans="1:20" ht="15" hidden="1" customHeight="1" x14ac:dyDescent="0.2">
      <c r="A19" s="198" t="s">
        <v>321</v>
      </c>
      <c r="E19" s="32">
        <v>5</v>
      </c>
      <c r="F19" s="138" t="s">
        <v>12</v>
      </c>
      <c r="G19" s="139">
        <v>13</v>
      </c>
      <c r="H19" s="140" t="s">
        <v>10</v>
      </c>
      <c r="K19" s="7"/>
      <c r="M19" s="7"/>
      <c r="N19" s="173"/>
      <c r="O19" s="7"/>
      <c r="Q19" s="7"/>
    </row>
    <row r="20" spans="1:20" ht="15" hidden="1" customHeight="1" x14ac:dyDescent="0.2">
      <c r="A20" s="137" t="s">
        <v>306</v>
      </c>
      <c r="B20" s="111"/>
      <c r="C20" s="111"/>
      <c r="D20" s="7"/>
      <c r="E20" s="32">
        <v>5</v>
      </c>
      <c r="F20" s="138" t="s">
        <v>12</v>
      </c>
      <c r="G20" s="139">
        <v>13</v>
      </c>
      <c r="H20" s="140" t="s">
        <v>15</v>
      </c>
      <c r="I20" s="100"/>
      <c r="J20" s="100"/>
      <c r="K20" s="100"/>
      <c r="L20" s="100"/>
      <c r="M20" s="100"/>
      <c r="N20" s="36"/>
      <c r="O20" s="7"/>
      <c r="Q20" s="7"/>
    </row>
    <row r="21" spans="1:20" ht="15" customHeight="1" x14ac:dyDescent="0.2">
      <c r="A21" s="33" t="s">
        <v>304</v>
      </c>
      <c r="B21" s="111"/>
      <c r="C21" s="111"/>
      <c r="D21" s="7"/>
      <c r="E21" s="32">
        <v>5</v>
      </c>
      <c r="F21" s="138" t="s">
        <v>12</v>
      </c>
      <c r="G21" s="139">
        <v>13</v>
      </c>
      <c r="H21" s="140" t="s">
        <v>17</v>
      </c>
      <c r="I21" s="100"/>
      <c r="J21" s="100"/>
      <c r="K21" s="100"/>
      <c r="L21" s="88"/>
      <c r="M21" s="100"/>
      <c r="N21" s="36"/>
      <c r="O21" s="7"/>
      <c r="Q21" s="7"/>
      <c r="R21" s="1">
        <v>1200000</v>
      </c>
    </row>
    <row r="22" spans="1:20" ht="15" customHeight="1" x14ac:dyDescent="0.2">
      <c r="A22" s="68"/>
      <c r="K22" s="7"/>
      <c r="M22" s="7"/>
      <c r="N22" s="173"/>
      <c r="O22" s="7"/>
      <c r="Q22" s="7"/>
    </row>
    <row r="23" spans="1:20" s="7" customFormat="1" ht="15.95" customHeight="1" x14ac:dyDescent="0.2">
      <c r="A23" s="68" t="s">
        <v>190</v>
      </c>
      <c r="B23" s="11"/>
      <c r="C23" s="11"/>
      <c r="N23" s="36"/>
    </row>
    <row r="24" spans="1:20" s="7" customFormat="1" ht="15" hidden="1" customHeight="1" x14ac:dyDescent="0.2">
      <c r="A24" s="33" t="s">
        <v>264</v>
      </c>
      <c r="B24" s="111"/>
      <c r="C24" s="111"/>
      <c r="E24" s="32">
        <v>1</v>
      </c>
      <c r="F24" s="143" t="s">
        <v>93</v>
      </c>
      <c r="G24" s="32" t="s">
        <v>12</v>
      </c>
      <c r="H24" s="140" t="s">
        <v>49</v>
      </c>
      <c r="J24" s="88"/>
      <c r="L24" s="88"/>
      <c r="N24" s="36"/>
      <c r="P24" s="88"/>
      <c r="R24" s="36"/>
    </row>
    <row r="25" spans="1:20" s="7" customFormat="1" ht="15" hidden="1" customHeight="1" x14ac:dyDescent="0.2">
      <c r="A25" s="157" t="s">
        <v>241</v>
      </c>
      <c r="B25" s="111"/>
      <c r="C25" s="111"/>
      <c r="E25" s="32">
        <v>1</v>
      </c>
      <c r="F25" s="143" t="s">
        <v>93</v>
      </c>
      <c r="G25" s="32" t="s">
        <v>29</v>
      </c>
      <c r="H25" s="140" t="s">
        <v>10</v>
      </c>
      <c r="J25" s="88"/>
      <c r="L25" s="88"/>
      <c r="N25" s="36"/>
      <c r="P25" s="88"/>
      <c r="R25" s="36"/>
    </row>
    <row r="26" spans="1:20" s="7" customFormat="1" ht="15" hidden="1" customHeight="1" x14ac:dyDescent="0.2">
      <c r="A26" s="33" t="s">
        <v>237</v>
      </c>
      <c r="B26" s="111"/>
      <c r="C26" s="111"/>
      <c r="E26" s="32">
        <v>1</v>
      </c>
      <c r="F26" s="143" t="s">
        <v>93</v>
      </c>
      <c r="G26" s="32" t="s">
        <v>29</v>
      </c>
      <c r="H26" s="32" t="s">
        <v>17</v>
      </c>
      <c r="J26" s="88"/>
      <c r="L26" s="88"/>
      <c r="N26" s="36"/>
      <c r="P26" s="88"/>
      <c r="R26" s="36"/>
    </row>
    <row r="27" spans="1:20" s="7" customFormat="1" ht="15" hidden="1" customHeight="1" x14ac:dyDescent="0.2">
      <c r="A27" s="33" t="s">
        <v>238</v>
      </c>
      <c r="B27" s="116"/>
      <c r="C27" s="116"/>
      <c r="D27" s="113"/>
      <c r="E27" s="32">
        <v>1</v>
      </c>
      <c r="F27" s="143" t="s">
        <v>93</v>
      </c>
      <c r="G27" s="32" t="s">
        <v>29</v>
      </c>
      <c r="H27" s="140" t="s">
        <v>49</v>
      </c>
      <c r="J27" s="88"/>
      <c r="L27" s="88"/>
      <c r="N27" s="36"/>
      <c r="P27" s="88"/>
      <c r="R27" s="36"/>
    </row>
    <row r="28" spans="1:20" s="7" customFormat="1" ht="15" hidden="1" customHeight="1" x14ac:dyDescent="0.2">
      <c r="A28" s="33" t="s">
        <v>94</v>
      </c>
      <c r="B28" s="111"/>
      <c r="C28" s="111"/>
      <c r="E28" s="32">
        <v>1</v>
      </c>
      <c r="F28" s="143" t="s">
        <v>93</v>
      </c>
      <c r="G28" s="32" t="s">
        <v>34</v>
      </c>
      <c r="H28" s="140" t="s">
        <v>8</v>
      </c>
      <c r="J28" s="88"/>
      <c r="L28" s="88"/>
      <c r="N28" s="36"/>
      <c r="P28" s="88"/>
      <c r="R28" s="36"/>
    </row>
    <row r="29" spans="1:20" s="7" customFormat="1" ht="15" customHeight="1" x14ac:dyDescent="0.2">
      <c r="A29" s="33" t="s">
        <v>94</v>
      </c>
      <c r="B29" s="111"/>
      <c r="C29" s="111"/>
      <c r="E29" s="32">
        <v>1</v>
      </c>
      <c r="F29" s="143" t="s">
        <v>93</v>
      </c>
      <c r="G29" s="32" t="s">
        <v>34</v>
      </c>
      <c r="H29" s="140" t="s">
        <v>8</v>
      </c>
      <c r="J29" s="88"/>
      <c r="L29" s="88"/>
      <c r="N29" s="36"/>
      <c r="P29" s="88"/>
      <c r="R29" s="36">
        <v>119300000</v>
      </c>
    </row>
    <row r="30" spans="1:20" s="7" customFormat="1" ht="15" hidden="1" customHeight="1" x14ac:dyDescent="0.2">
      <c r="A30" s="33" t="s">
        <v>236</v>
      </c>
      <c r="B30" s="111"/>
      <c r="C30" s="111"/>
      <c r="E30" s="32">
        <v>1</v>
      </c>
      <c r="F30" s="143" t="s">
        <v>93</v>
      </c>
      <c r="G30" s="32" t="s">
        <v>34</v>
      </c>
      <c r="H30" s="32" t="s">
        <v>10</v>
      </c>
      <c r="J30" s="88"/>
      <c r="L30" s="88"/>
      <c r="N30" s="36"/>
      <c r="P30" s="88"/>
      <c r="R30" s="36"/>
    </row>
    <row r="31" spans="1:20" s="7" customFormat="1" ht="15" hidden="1" customHeight="1" x14ac:dyDescent="0.2">
      <c r="A31" s="33" t="s">
        <v>95</v>
      </c>
      <c r="B31" s="116"/>
      <c r="C31" s="116"/>
      <c r="E31" s="32">
        <v>1</v>
      </c>
      <c r="F31" s="143" t="s">
        <v>93</v>
      </c>
      <c r="G31" s="32" t="s">
        <v>34</v>
      </c>
      <c r="H31" s="32" t="s">
        <v>49</v>
      </c>
      <c r="J31" s="88"/>
      <c r="L31" s="88"/>
      <c r="N31" s="36"/>
      <c r="P31" s="88"/>
      <c r="R31" s="36"/>
      <c r="T31" s="7">
        <f>SUM(R21:R31)</f>
        <v>120500000</v>
      </c>
    </row>
    <row r="32" spans="1:20" s="7" customFormat="1" ht="15" hidden="1" customHeight="1" x14ac:dyDescent="0.2">
      <c r="A32" s="141" t="s">
        <v>233</v>
      </c>
      <c r="B32" s="111"/>
      <c r="C32" s="111"/>
      <c r="E32" s="325" t="s">
        <v>234</v>
      </c>
      <c r="F32" s="325"/>
      <c r="G32" s="325"/>
      <c r="H32" s="325"/>
      <c r="N32" s="36"/>
    </row>
    <row r="33" spans="1:18" s="7" customFormat="1" ht="15" hidden="1" customHeight="1" x14ac:dyDescent="0.2">
      <c r="A33" s="142" t="s">
        <v>188</v>
      </c>
      <c r="B33" s="111"/>
      <c r="C33" s="111"/>
      <c r="E33" s="112"/>
      <c r="F33" s="113"/>
      <c r="G33" s="112"/>
      <c r="H33" s="114"/>
      <c r="N33" s="36"/>
    </row>
    <row r="34" spans="1:18" s="7" customFormat="1" ht="15" hidden="1" customHeight="1" x14ac:dyDescent="0.2">
      <c r="A34" s="33" t="s">
        <v>304</v>
      </c>
      <c r="B34" s="111"/>
      <c r="C34" s="111"/>
      <c r="E34" s="32">
        <v>5</v>
      </c>
      <c r="F34" s="138" t="s">
        <v>12</v>
      </c>
      <c r="G34" s="139">
        <v>13</v>
      </c>
      <c r="H34" s="140" t="s">
        <v>17</v>
      </c>
      <c r="N34" s="36"/>
    </row>
    <row r="35" spans="1:18" s="7" customFormat="1" ht="15" hidden="1" customHeight="1" x14ac:dyDescent="0.2">
      <c r="A35" s="86"/>
      <c r="B35" s="111"/>
      <c r="C35" s="111"/>
      <c r="E35" s="112"/>
      <c r="F35" s="113"/>
      <c r="G35" s="112"/>
      <c r="H35" s="112"/>
      <c r="N35" s="36"/>
    </row>
    <row r="36" spans="1:18" s="7" customFormat="1" ht="15" hidden="1" customHeight="1" x14ac:dyDescent="0.2">
      <c r="A36" s="68" t="s">
        <v>190</v>
      </c>
      <c r="B36" s="111"/>
      <c r="C36" s="111"/>
      <c r="E36" s="112"/>
      <c r="F36" s="113"/>
      <c r="G36" s="112"/>
      <c r="H36" s="112"/>
      <c r="N36" s="36"/>
    </row>
    <row r="37" spans="1:18" s="7" customFormat="1" ht="15" hidden="1" customHeight="1" x14ac:dyDescent="0.2">
      <c r="A37" s="33" t="s">
        <v>264</v>
      </c>
      <c r="B37" s="139"/>
      <c r="C37" s="139"/>
      <c r="D37" s="100"/>
      <c r="E37" s="32">
        <v>1</v>
      </c>
      <c r="F37" s="143" t="s">
        <v>93</v>
      </c>
      <c r="G37" s="32" t="s">
        <v>12</v>
      </c>
      <c r="H37" s="140" t="s">
        <v>49</v>
      </c>
      <c r="I37" s="100"/>
      <c r="J37" s="88"/>
      <c r="K37" s="100"/>
      <c r="L37" s="88"/>
      <c r="M37" s="100"/>
      <c r="N37" s="36"/>
      <c r="O37" s="100"/>
      <c r="P37" s="88"/>
      <c r="Q37" s="100"/>
      <c r="R37" s="49"/>
    </row>
    <row r="38" spans="1:18" s="7" customFormat="1" ht="15" hidden="1" customHeight="1" x14ac:dyDescent="0.2">
      <c r="A38" s="33" t="s">
        <v>241</v>
      </c>
      <c r="B38" s="139"/>
      <c r="C38" s="139"/>
      <c r="D38" s="100"/>
      <c r="E38" s="32">
        <v>1</v>
      </c>
      <c r="F38" s="143" t="s">
        <v>93</v>
      </c>
      <c r="G38" s="32" t="s">
        <v>29</v>
      </c>
      <c r="H38" s="140" t="s">
        <v>10</v>
      </c>
      <c r="I38" s="100"/>
      <c r="J38" s="88"/>
      <c r="K38" s="100"/>
      <c r="L38" s="88"/>
      <c r="M38" s="100"/>
      <c r="N38" s="36"/>
      <c r="O38" s="100"/>
      <c r="P38" s="88"/>
      <c r="Q38" s="100"/>
      <c r="R38" s="49"/>
    </row>
    <row r="39" spans="1:18" s="7" customFormat="1" ht="15" hidden="1" customHeight="1" x14ac:dyDescent="0.2">
      <c r="A39" s="33" t="s">
        <v>237</v>
      </c>
      <c r="B39" s="139"/>
      <c r="C39" s="139"/>
      <c r="D39" s="100"/>
      <c r="E39" s="32">
        <v>1</v>
      </c>
      <c r="F39" s="143" t="s">
        <v>93</v>
      </c>
      <c r="G39" s="32" t="s">
        <v>29</v>
      </c>
      <c r="H39" s="32" t="s">
        <v>17</v>
      </c>
      <c r="I39" s="100"/>
      <c r="J39" s="88"/>
      <c r="K39" s="100"/>
      <c r="L39" s="88"/>
      <c r="M39" s="100"/>
      <c r="N39" s="36">
        <f t="shared" ref="N39:N41" si="0">P39-L39</f>
        <v>0</v>
      </c>
      <c r="O39" s="100"/>
      <c r="P39" s="88"/>
      <c r="Q39" s="100"/>
      <c r="R39" s="49"/>
    </row>
    <row r="40" spans="1:18" s="7" customFormat="1" ht="15" hidden="1" customHeight="1" x14ac:dyDescent="0.2">
      <c r="A40" s="33" t="s">
        <v>309</v>
      </c>
      <c r="B40" s="144"/>
      <c r="C40" s="144"/>
      <c r="D40" s="143"/>
      <c r="E40" s="32">
        <v>1</v>
      </c>
      <c r="F40" s="143" t="s">
        <v>93</v>
      </c>
      <c r="G40" s="32" t="s">
        <v>29</v>
      </c>
      <c r="H40" s="140" t="s">
        <v>49</v>
      </c>
      <c r="I40" s="100"/>
      <c r="J40" s="88"/>
      <c r="K40" s="100"/>
      <c r="L40" s="88"/>
      <c r="M40" s="100"/>
      <c r="N40" s="36">
        <f t="shared" si="0"/>
        <v>0</v>
      </c>
      <c r="O40" s="100"/>
      <c r="P40" s="88"/>
      <c r="Q40" s="100"/>
      <c r="R40" s="49"/>
    </row>
    <row r="41" spans="1:18" s="7" customFormat="1" ht="15" hidden="1" customHeight="1" x14ac:dyDescent="0.2">
      <c r="A41" s="33" t="s">
        <v>95</v>
      </c>
      <c r="B41" s="139"/>
      <c r="C41" s="139"/>
      <c r="D41" s="100"/>
      <c r="E41" s="32">
        <v>1</v>
      </c>
      <c r="F41" s="143" t="s">
        <v>93</v>
      </c>
      <c r="G41" s="32" t="s">
        <v>34</v>
      </c>
      <c r="H41" s="140" t="s">
        <v>8</v>
      </c>
      <c r="I41" s="100"/>
      <c r="J41" s="88"/>
      <c r="K41" s="100"/>
      <c r="L41" s="88"/>
      <c r="M41" s="100"/>
      <c r="N41" s="36">
        <f t="shared" si="0"/>
        <v>0</v>
      </c>
      <c r="O41" s="100"/>
      <c r="P41" s="88"/>
      <c r="Q41" s="100"/>
      <c r="R41" s="49"/>
    </row>
    <row r="42" spans="1:18" s="7" customFormat="1" ht="15" hidden="1" customHeight="1" x14ac:dyDescent="0.2">
      <c r="A42" s="33"/>
      <c r="B42" s="144"/>
      <c r="C42" s="144"/>
      <c r="D42" s="100"/>
      <c r="E42" s="32"/>
      <c r="F42" s="143"/>
      <c r="G42" s="32"/>
      <c r="H42" s="32"/>
      <c r="I42" s="100"/>
      <c r="J42" s="88"/>
      <c r="K42" s="100"/>
      <c r="L42" s="88"/>
      <c r="M42" s="100"/>
      <c r="N42" s="49"/>
      <c r="O42" s="100"/>
      <c r="P42" s="88"/>
      <c r="Q42" s="100"/>
      <c r="R42" s="49"/>
    </row>
    <row r="43" spans="1:18" s="7" customFormat="1" ht="15" hidden="1" customHeight="1" x14ac:dyDescent="0.2">
      <c r="A43" s="33" t="s">
        <v>264</v>
      </c>
      <c r="B43" s="111"/>
      <c r="C43" s="111"/>
      <c r="E43" s="32">
        <v>1</v>
      </c>
      <c r="F43" s="143" t="s">
        <v>93</v>
      </c>
      <c r="G43" s="32" t="s">
        <v>12</v>
      </c>
      <c r="H43" s="140" t="s">
        <v>49</v>
      </c>
      <c r="J43" s="197"/>
      <c r="L43" s="49"/>
      <c r="N43" s="36"/>
      <c r="P43" s="164"/>
      <c r="R43" s="164"/>
    </row>
    <row r="44" spans="1:18" s="7" customFormat="1" ht="15" hidden="1" customHeight="1" x14ac:dyDescent="0.2">
      <c r="A44" s="33" t="s">
        <v>237</v>
      </c>
      <c r="B44" s="111"/>
      <c r="C44" s="111"/>
      <c r="D44" s="113"/>
      <c r="E44" s="32">
        <v>1</v>
      </c>
      <c r="F44" s="143" t="s">
        <v>93</v>
      </c>
      <c r="G44" s="32" t="s">
        <v>29</v>
      </c>
      <c r="H44" s="32" t="s">
        <v>17</v>
      </c>
      <c r="J44" s="197"/>
      <c r="L44" s="88"/>
      <c r="N44" s="36"/>
      <c r="P44" s="164"/>
      <c r="R44" s="164"/>
    </row>
    <row r="45" spans="1:18" s="7" customFormat="1" ht="15" hidden="1" customHeight="1" x14ac:dyDescent="0.2">
      <c r="A45" s="33" t="s">
        <v>238</v>
      </c>
      <c r="B45" s="111"/>
      <c r="C45" s="111"/>
      <c r="D45" s="113"/>
      <c r="E45" s="32">
        <v>1</v>
      </c>
      <c r="F45" s="143" t="s">
        <v>93</v>
      </c>
      <c r="G45" s="32" t="s">
        <v>29</v>
      </c>
      <c r="H45" s="140" t="s">
        <v>49</v>
      </c>
      <c r="J45" s="88"/>
      <c r="L45" s="88"/>
      <c r="N45" s="36"/>
      <c r="P45" s="88"/>
      <c r="R45" s="49"/>
    </row>
    <row r="46" spans="1:18" s="7" customFormat="1" ht="15" hidden="1" customHeight="1" x14ac:dyDescent="0.2">
      <c r="A46" s="33" t="s">
        <v>94</v>
      </c>
      <c r="B46" s="111"/>
      <c r="C46" s="111"/>
      <c r="D46" s="113"/>
      <c r="E46" s="32">
        <v>1</v>
      </c>
      <c r="F46" s="143" t="s">
        <v>93</v>
      </c>
      <c r="G46" s="32" t="s">
        <v>34</v>
      </c>
      <c r="H46" s="32">
        <v>10</v>
      </c>
      <c r="J46" s="88"/>
      <c r="L46" s="88"/>
      <c r="N46" s="36"/>
      <c r="P46" s="88"/>
      <c r="R46" s="49"/>
    </row>
    <row r="47" spans="1:18" s="7" customFormat="1" ht="15" customHeight="1" x14ac:dyDescent="0.2">
      <c r="A47" s="33" t="s">
        <v>95</v>
      </c>
      <c r="B47" s="111"/>
      <c r="C47" s="111"/>
      <c r="D47" s="113"/>
      <c r="E47" s="32">
        <v>1</v>
      </c>
      <c r="F47" s="143" t="s">
        <v>93</v>
      </c>
      <c r="G47" s="32" t="s">
        <v>34</v>
      </c>
      <c r="H47" s="32" t="s">
        <v>49</v>
      </c>
      <c r="J47" s="88"/>
      <c r="L47" s="88"/>
      <c r="N47" s="36"/>
      <c r="P47" s="164"/>
      <c r="R47" s="164">
        <v>7000000</v>
      </c>
    </row>
    <row r="48" spans="1:18" s="7" customFormat="1" ht="9.75" customHeight="1" x14ac:dyDescent="0.2">
      <c r="J48" s="129"/>
      <c r="L48" s="129"/>
      <c r="N48" s="174"/>
      <c r="P48" s="129"/>
      <c r="R48" s="129"/>
    </row>
    <row r="49" spans="1:18" s="7" customFormat="1" ht="20.100000000000001" customHeight="1" thickBot="1" x14ac:dyDescent="0.25">
      <c r="A49" s="11" t="s">
        <v>110</v>
      </c>
      <c r="B49" s="28"/>
      <c r="C49" s="28"/>
      <c r="J49" s="29">
        <f>SUM(J20:J47)</f>
        <v>0</v>
      </c>
      <c r="K49" s="23"/>
      <c r="L49" s="29">
        <f>SUM(L20:L47)</f>
        <v>0</v>
      </c>
      <c r="N49" s="29">
        <f>SUM(N18:N47)</f>
        <v>0</v>
      </c>
      <c r="P49" s="29">
        <f>SUM(P18:P47)</f>
        <v>0</v>
      </c>
      <c r="R49" s="29">
        <f>R21+R29+R43+R47</f>
        <v>127500000</v>
      </c>
    </row>
    <row r="50" spans="1:18" s="7" customFormat="1" ht="20.100000000000001" customHeight="1" thickTop="1" x14ac:dyDescent="0.2">
      <c r="A50" s="11"/>
      <c r="B50" s="28"/>
      <c r="C50" s="28"/>
      <c r="J50" s="23"/>
      <c r="K50" s="23"/>
      <c r="L50" s="23"/>
      <c r="N50" s="23"/>
      <c r="P50" s="23"/>
      <c r="R50" s="23"/>
    </row>
    <row r="51" spans="1:18" s="7" customFormat="1" x14ac:dyDescent="0.2"/>
    <row r="52" spans="1:18" x14ac:dyDescent="0.2">
      <c r="B52" s="96"/>
      <c r="C52" s="195" t="s">
        <v>133</v>
      </c>
      <c r="D52" s="33"/>
      <c r="E52" s="32"/>
      <c r="G52" s="31"/>
      <c r="I52" s="31"/>
      <c r="J52" s="321" t="s">
        <v>276</v>
      </c>
      <c r="K52" s="321"/>
      <c r="L52" s="321"/>
      <c r="M52" s="47"/>
      <c r="N52" s="49"/>
      <c r="O52" s="49"/>
      <c r="P52" s="48" t="s">
        <v>135</v>
      </c>
    </row>
    <row r="53" spans="1:18" x14ac:dyDescent="0.2">
      <c r="A53" s="75"/>
      <c r="B53" s="96"/>
      <c r="C53" s="194"/>
      <c r="D53" s="33"/>
      <c r="E53" s="32"/>
      <c r="G53" s="31"/>
      <c r="I53" s="31"/>
      <c r="J53" s="195"/>
      <c r="K53" s="195"/>
      <c r="L53" s="195"/>
      <c r="M53" s="47"/>
      <c r="N53" s="49"/>
      <c r="O53" s="49"/>
      <c r="P53" s="48"/>
    </row>
    <row r="54" spans="1:18" x14ac:dyDescent="0.2">
      <c r="A54" s="50"/>
      <c r="B54" s="96"/>
      <c r="C54" s="194"/>
      <c r="D54" s="33"/>
      <c r="E54" s="51"/>
      <c r="G54" s="31"/>
      <c r="I54" s="31"/>
      <c r="J54" s="195"/>
      <c r="M54" s="195"/>
      <c r="N54" s="36"/>
      <c r="O54" s="36"/>
      <c r="P54" s="51"/>
    </row>
    <row r="55" spans="1:18" x14ac:dyDescent="0.2">
      <c r="A55" s="52"/>
      <c r="B55" s="96"/>
      <c r="C55" s="194"/>
      <c r="D55" s="31"/>
      <c r="E55" s="53"/>
      <c r="G55" s="31"/>
      <c r="I55" s="31"/>
      <c r="J55" s="31"/>
      <c r="M55" s="31"/>
      <c r="P55" s="53"/>
    </row>
    <row r="56" spans="1:18" x14ac:dyDescent="0.2">
      <c r="B56" s="96"/>
      <c r="C56" s="196" t="s">
        <v>222</v>
      </c>
      <c r="D56" s="55"/>
      <c r="E56" s="56"/>
      <c r="G56" s="31"/>
      <c r="I56" s="31"/>
      <c r="J56" s="322" t="s">
        <v>291</v>
      </c>
      <c r="K56" s="322"/>
      <c r="L56" s="322"/>
      <c r="M56" s="57"/>
      <c r="N56" s="59"/>
      <c r="O56" s="59"/>
      <c r="P56" s="58" t="s">
        <v>137</v>
      </c>
    </row>
    <row r="57" spans="1:18" x14ac:dyDescent="0.2">
      <c r="B57" s="96"/>
      <c r="C57" s="195" t="s">
        <v>282</v>
      </c>
      <c r="D57" s="31"/>
      <c r="E57" s="32"/>
      <c r="G57" s="31"/>
      <c r="I57" s="31"/>
      <c r="J57" s="321" t="s">
        <v>269</v>
      </c>
      <c r="K57" s="321"/>
      <c r="L57" s="321"/>
      <c r="M57" s="33"/>
      <c r="N57" s="35"/>
      <c r="O57" s="35"/>
      <c r="P57" s="60" t="s">
        <v>139</v>
      </c>
    </row>
    <row r="58" spans="1:18" x14ac:dyDescent="0.2">
      <c r="B58" s="96"/>
    </row>
  </sheetData>
  <customSheetViews>
    <customSheetView guid="{1998FCB8-1FEB-4076-ACE6-A225EE4366B3}" showPageBreaks="1" printArea="1" hiddenRows="1" view="pageBreakPreview">
      <pane xSplit="1" ySplit="14" topLeftCell="B15" activePane="bottomRight" state="frozen"/>
      <selection pane="bottomRight" activeCell="A20" sqref="A20"/>
      <rowBreaks count="1" manualBreakCount="1">
        <brk id="41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3">
    <mergeCell ref="A1:S1"/>
    <mergeCell ref="A2:S2"/>
    <mergeCell ref="L9:P9"/>
    <mergeCell ref="P10:P12"/>
    <mergeCell ref="A11:C11"/>
    <mergeCell ref="E11:H11"/>
    <mergeCell ref="J52:L52"/>
    <mergeCell ref="J56:L56"/>
    <mergeCell ref="J57:L57"/>
    <mergeCell ref="A13:C13"/>
    <mergeCell ref="E13:H13"/>
    <mergeCell ref="E32:H32"/>
    <mergeCell ref="E15:H15"/>
  </mergeCells>
  <printOptions horizontalCentered="1"/>
  <pageMargins left="0.75" right="0.5" top="1" bottom="1" header="0.75" footer="0.5"/>
  <pageSetup paperSize="5" scale="90" orientation="landscape" horizontalDpi="4294967293" verticalDpi="300" r:id="rId2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64"/>
  <sheetViews>
    <sheetView view="pageBreakPreview" zoomScaleNormal="85" zoomScaleSheetLayoutView="100" workbookViewId="0">
      <pane xSplit="1" ySplit="14" topLeftCell="B53" activePane="bottomRight" state="frozen"/>
      <selection pane="topRight" activeCell="B1" sqref="B1"/>
      <selection pane="bottomLeft" activeCell="A15" sqref="A15"/>
      <selection pane="bottomRight" activeCell="C56" sqref="C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1.109375" style="1" bestFit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8"/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1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18"/>
      <c r="B12" s="118"/>
      <c r="C12" s="118"/>
      <c r="D12" s="9"/>
      <c r="E12" s="118"/>
      <c r="F12" s="118"/>
      <c r="G12" s="118"/>
      <c r="H12" s="118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ht="15" customHeight="1" x14ac:dyDescent="0.2">
      <c r="A15" s="327" t="s">
        <v>308</v>
      </c>
      <c r="B15" s="327"/>
      <c r="C15" s="327"/>
      <c r="E15" s="326">
        <v>3999</v>
      </c>
      <c r="F15" s="326"/>
      <c r="G15" s="326"/>
      <c r="H15" s="326"/>
      <c r="K15" s="7"/>
      <c r="M15" s="7"/>
      <c r="O15" s="7"/>
      <c r="Q15" s="7"/>
    </row>
    <row r="16" spans="1:19" ht="15" customHeight="1" x14ac:dyDescent="0.2">
      <c r="A16" s="327"/>
      <c r="B16" s="327"/>
      <c r="C16" s="327"/>
      <c r="E16" s="326"/>
      <c r="F16" s="326"/>
      <c r="G16" s="326"/>
      <c r="H16" s="326"/>
      <c r="K16" s="7"/>
      <c r="M16" s="7"/>
      <c r="O16" s="7"/>
      <c r="Q16" s="7"/>
    </row>
    <row r="17" spans="1:20" ht="15" customHeight="1" x14ac:dyDescent="0.2">
      <c r="K17" s="7"/>
      <c r="M17" s="7"/>
      <c r="O17" s="7"/>
      <c r="Q17" s="7"/>
    </row>
    <row r="18" spans="1:20" ht="15" customHeight="1" x14ac:dyDescent="0.2">
      <c r="A18" s="136" t="s">
        <v>188</v>
      </c>
      <c r="K18" s="7"/>
      <c r="M18" s="7"/>
      <c r="N18" s="173"/>
      <c r="O18" s="7"/>
      <c r="Q18" s="7"/>
    </row>
    <row r="19" spans="1:20" ht="15" customHeight="1" x14ac:dyDescent="0.2">
      <c r="A19" s="184" t="s">
        <v>320</v>
      </c>
      <c r="E19" s="32">
        <v>5</v>
      </c>
      <c r="F19" s="138" t="s">
        <v>12</v>
      </c>
      <c r="G19" s="139">
        <v>8</v>
      </c>
      <c r="H19" s="140" t="s">
        <v>8</v>
      </c>
      <c r="K19" s="7"/>
      <c r="M19" s="7"/>
      <c r="N19" s="173">
        <f>P19-L19</f>
        <v>1100000</v>
      </c>
      <c r="O19" s="7"/>
      <c r="P19" s="1">
        <v>1100000</v>
      </c>
      <c r="Q19" s="7"/>
    </row>
    <row r="20" spans="1:20" ht="15" customHeight="1" x14ac:dyDescent="0.2">
      <c r="A20" s="208" t="s">
        <v>321</v>
      </c>
      <c r="E20" s="32">
        <v>5</v>
      </c>
      <c r="F20" s="138" t="s">
        <v>12</v>
      </c>
      <c r="G20" s="139">
        <v>13</v>
      </c>
      <c r="H20" s="140" t="s">
        <v>10</v>
      </c>
      <c r="K20" s="7"/>
      <c r="M20" s="7"/>
      <c r="N20" s="173">
        <f>P20-L20</f>
        <v>75000</v>
      </c>
      <c r="O20" s="7"/>
      <c r="P20" s="1">
        <v>75000</v>
      </c>
      <c r="Q20" s="7"/>
    </row>
    <row r="21" spans="1:20" ht="15" customHeight="1" x14ac:dyDescent="0.2">
      <c r="A21" s="137" t="s">
        <v>306</v>
      </c>
      <c r="B21" s="111"/>
      <c r="C21" s="111"/>
      <c r="D21" s="7"/>
      <c r="E21" s="32">
        <v>5</v>
      </c>
      <c r="F21" s="138" t="s">
        <v>12</v>
      </c>
      <c r="G21" s="139">
        <v>13</v>
      </c>
      <c r="H21" s="140" t="s">
        <v>15</v>
      </c>
      <c r="I21" s="100"/>
      <c r="J21" s="100">
        <v>268778.63</v>
      </c>
      <c r="K21" s="100"/>
      <c r="L21" s="100"/>
      <c r="M21" s="100"/>
      <c r="N21" s="36">
        <f t="shared" ref="N21:N22" si="0">P21-L21</f>
        <v>0</v>
      </c>
      <c r="O21" s="7"/>
      <c r="Q21" s="7"/>
    </row>
    <row r="22" spans="1:20" ht="15" customHeight="1" x14ac:dyDescent="0.2">
      <c r="A22" s="33" t="s">
        <v>304</v>
      </c>
      <c r="B22" s="111"/>
      <c r="C22" s="111"/>
      <c r="D22" s="7"/>
      <c r="E22" s="32">
        <v>5</v>
      </c>
      <c r="F22" s="138" t="s">
        <v>12</v>
      </c>
      <c r="G22" s="139">
        <v>13</v>
      </c>
      <c r="H22" s="140" t="s">
        <v>17</v>
      </c>
      <c r="I22" s="100"/>
      <c r="J22" s="100">
        <v>57685082.740000002</v>
      </c>
      <c r="K22" s="100"/>
      <c r="L22" s="88"/>
      <c r="M22" s="100"/>
      <c r="N22" s="36">
        <f t="shared" si="0"/>
        <v>22980000</v>
      </c>
      <c r="O22" s="7"/>
      <c r="P22" s="1">
        <v>22980000</v>
      </c>
      <c r="Q22" s="7"/>
    </row>
    <row r="23" spans="1:20" ht="15" customHeight="1" x14ac:dyDescent="0.2">
      <c r="A23" s="68"/>
      <c r="K23" s="7"/>
      <c r="M23" s="7"/>
      <c r="N23" s="173"/>
      <c r="O23" s="7"/>
      <c r="Q23" s="7"/>
    </row>
    <row r="24" spans="1:20" s="7" customFormat="1" ht="15.95" customHeight="1" x14ac:dyDescent="0.2">
      <c r="A24" s="68" t="s">
        <v>190</v>
      </c>
      <c r="B24" s="11"/>
      <c r="C24" s="11"/>
      <c r="N24" s="36"/>
    </row>
    <row r="25" spans="1:20" s="7" customFormat="1" ht="15" customHeight="1" x14ac:dyDescent="0.2">
      <c r="A25" s="33" t="s">
        <v>264</v>
      </c>
      <c r="B25" s="111"/>
      <c r="C25" s="111"/>
      <c r="E25" s="32">
        <v>1</v>
      </c>
      <c r="F25" s="143" t="s">
        <v>93</v>
      </c>
      <c r="G25" s="32" t="s">
        <v>12</v>
      </c>
      <c r="H25" s="140" t="s">
        <v>49</v>
      </c>
      <c r="J25" s="88">
        <v>16891399.34</v>
      </c>
      <c r="L25" s="88"/>
      <c r="N25" s="36">
        <f>P25-L25</f>
        <v>10311000</v>
      </c>
      <c r="P25" s="88">
        <v>10311000</v>
      </c>
      <c r="R25" s="36">
        <v>1800000</v>
      </c>
    </row>
    <row r="26" spans="1:20" s="7" customFormat="1" ht="15" hidden="1" customHeight="1" x14ac:dyDescent="0.2">
      <c r="A26" s="157" t="s">
        <v>241</v>
      </c>
      <c r="B26" s="111"/>
      <c r="C26" s="111"/>
      <c r="E26" s="32">
        <v>1</v>
      </c>
      <c r="F26" s="143" t="s">
        <v>93</v>
      </c>
      <c r="G26" s="32" t="s">
        <v>29</v>
      </c>
      <c r="H26" s="140" t="s">
        <v>10</v>
      </c>
      <c r="J26" s="88"/>
      <c r="L26" s="88"/>
      <c r="N26" s="36">
        <f t="shared" ref="N26:N32" si="1">P26-L26</f>
        <v>0</v>
      </c>
      <c r="P26" s="88"/>
      <c r="R26" s="36"/>
    </row>
    <row r="27" spans="1:20" s="7" customFormat="1" ht="15" customHeight="1" x14ac:dyDescent="0.2">
      <c r="A27" s="33" t="s">
        <v>237</v>
      </c>
      <c r="B27" s="111"/>
      <c r="C27" s="111"/>
      <c r="E27" s="32">
        <v>1</v>
      </c>
      <c r="F27" s="143" t="s">
        <v>93</v>
      </c>
      <c r="G27" s="32" t="s">
        <v>29</v>
      </c>
      <c r="H27" s="32" t="s">
        <v>17</v>
      </c>
      <c r="J27" s="88">
        <v>1319530.8999999999</v>
      </c>
      <c r="L27" s="88"/>
      <c r="N27" s="36">
        <f>P27-L27</f>
        <v>5800000</v>
      </c>
      <c r="P27" s="88">
        <v>5800000</v>
      </c>
      <c r="R27" s="36"/>
    </row>
    <row r="28" spans="1:20" s="7" customFormat="1" ht="15" customHeight="1" x14ac:dyDescent="0.2">
      <c r="A28" s="33" t="s">
        <v>238</v>
      </c>
      <c r="B28" s="116"/>
      <c r="C28" s="116"/>
      <c r="D28" s="113"/>
      <c r="E28" s="32">
        <v>1</v>
      </c>
      <c r="F28" s="143" t="s">
        <v>93</v>
      </c>
      <c r="G28" s="32" t="s">
        <v>29</v>
      </c>
      <c r="H28" s="140" t="s">
        <v>49</v>
      </c>
      <c r="J28" s="88">
        <v>278551.14</v>
      </c>
      <c r="L28" s="88"/>
      <c r="N28" s="36">
        <f t="shared" si="1"/>
        <v>6480000</v>
      </c>
      <c r="P28" s="88">
        <v>6480000</v>
      </c>
      <c r="R28" s="36"/>
    </row>
    <row r="29" spans="1:20" s="7" customFormat="1" ht="15" hidden="1" customHeight="1" x14ac:dyDescent="0.2">
      <c r="A29" s="33" t="s">
        <v>94</v>
      </c>
      <c r="B29" s="111"/>
      <c r="C29" s="111"/>
      <c r="E29" s="32">
        <v>1</v>
      </c>
      <c r="F29" s="143" t="s">
        <v>93</v>
      </c>
      <c r="G29" s="32" t="s">
        <v>34</v>
      </c>
      <c r="H29" s="140" t="s">
        <v>8</v>
      </c>
      <c r="J29" s="88"/>
      <c r="L29" s="88"/>
      <c r="N29" s="36">
        <f t="shared" si="1"/>
        <v>0</v>
      </c>
      <c r="P29" s="88"/>
      <c r="R29" s="36"/>
    </row>
    <row r="30" spans="1:20" s="7" customFormat="1" ht="15" customHeight="1" x14ac:dyDescent="0.2">
      <c r="A30" s="33" t="s">
        <v>94</v>
      </c>
      <c r="B30" s="111"/>
      <c r="C30" s="111"/>
      <c r="E30" s="32">
        <v>1</v>
      </c>
      <c r="F30" s="143" t="s">
        <v>93</v>
      </c>
      <c r="G30" s="32" t="s">
        <v>34</v>
      </c>
      <c r="H30" s="140" t="s">
        <v>8</v>
      </c>
      <c r="J30" s="88"/>
      <c r="L30" s="88"/>
      <c r="N30" s="36"/>
      <c r="P30" s="88"/>
      <c r="R30" s="36">
        <v>2800000</v>
      </c>
    </row>
    <row r="31" spans="1:20" s="7" customFormat="1" ht="15" customHeight="1" x14ac:dyDescent="0.2">
      <c r="A31" s="33" t="s">
        <v>236</v>
      </c>
      <c r="B31" s="111"/>
      <c r="C31" s="111"/>
      <c r="E31" s="32">
        <v>1</v>
      </c>
      <c r="F31" s="143" t="s">
        <v>93</v>
      </c>
      <c r="G31" s="32" t="s">
        <v>34</v>
      </c>
      <c r="H31" s="32" t="s">
        <v>10</v>
      </c>
      <c r="J31" s="88">
        <v>8149832.8799999999</v>
      </c>
      <c r="L31" s="88"/>
      <c r="N31" s="36">
        <f t="shared" si="1"/>
        <v>15834000</v>
      </c>
      <c r="P31" s="88">
        <v>15834000</v>
      </c>
      <c r="R31" s="36">
        <v>28854000</v>
      </c>
    </row>
    <row r="32" spans="1:20" s="7" customFormat="1" ht="15" customHeight="1" x14ac:dyDescent="0.2">
      <c r="A32" s="33" t="s">
        <v>95</v>
      </c>
      <c r="B32" s="116"/>
      <c r="C32" s="116"/>
      <c r="E32" s="32">
        <v>1</v>
      </c>
      <c r="F32" s="143" t="s">
        <v>93</v>
      </c>
      <c r="G32" s="32" t="s">
        <v>34</v>
      </c>
      <c r="H32" s="32" t="s">
        <v>49</v>
      </c>
      <c r="J32" s="88">
        <v>67293825.280000001</v>
      </c>
      <c r="L32" s="88"/>
      <c r="N32" s="36">
        <f t="shared" si="1"/>
        <v>24390000</v>
      </c>
      <c r="P32" s="88">
        <v>24390000</v>
      </c>
      <c r="R32" s="36">
        <v>10200000</v>
      </c>
      <c r="T32" s="7">
        <f>SUM(R22:R32)</f>
        <v>43654000</v>
      </c>
    </row>
    <row r="33" spans="1:18" s="7" customFormat="1" ht="12.75" customHeight="1" x14ac:dyDescent="0.2">
      <c r="A33" s="86"/>
      <c r="B33" s="111"/>
      <c r="C33" s="111"/>
      <c r="E33" s="112"/>
      <c r="F33" s="113"/>
      <c r="G33" s="112"/>
      <c r="H33" s="112"/>
      <c r="N33" s="36"/>
    </row>
    <row r="34" spans="1:18" s="7" customFormat="1" ht="15" customHeight="1" x14ac:dyDescent="0.2">
      <c r="A34" s="141" t="s">
        <v>233</v>
      </c>
      <c r="B34" s="111"/>
      <c r="C34" s="111"/>
      <c r="E34" s="325" t="s">
        <v>234</v>
      </c>
      <c r="F34" s="325"/>
      <c r="G34" s="325"/>
      <c r="H34" s="325"/>
      <c r="N34" s="36"/>
    </row>
    <row r="35" spans="1:18" s="7" customFormat="1" ht="15" customHeight="1" x14ac:dyDescent="0.2">
      <c r="A35" s="142" t="s">
        <v>188</v>
      </c>
      <c r="B35" s="111"/>
      <c r="C35" s="111"/>
      <c r="E35" s="112"/>
      <c r="F35" s="113"/>
      <c r="G35" s="112"/>
      <c r="H35" s="114"/>
      <c r="N35" s="36"/>
    </row>
    <row r="36" spans="1:18" s="7" customFormat="1" ht="15" customHeight="1" x14ac:dyDescent="0.2">
      <c r="A36" s="33" t="s">
        <v>304</v>
      </c>
      <c r="B36" s="111"/>
      <c r="C36" s="111"/>
      <c r="E36" s="32">
        <v>5</v>
      </c>
      <c r="F36" s="138" t="s">
        <v>12</v>
      </c>
      <c r="G36" s="139">
        <v>13</v>
      </c>
      <c r="H36" s="140" t="s">
        <v>17</v>
      </c>
      <c r="J36" s="7">
        <v>3588828.12</v>
      </c>
      <c r="N36" s="36">
        <f t="shared" ref="N36" si="2">P36-L36</f>
        <v>2500000</v>
      </c>
      <c r="P36" s="7">
        <v>2500000</v>
      </c>
    </row>
    <row r="37" spans="1:18" s="7" customFormat="1" ht="15" customHeight="1" x14ac:dyDescent="0.2">
      <c r="A37" s="86"/>
      <c r="B37" s="111"/>
      <c r="C37" s="111"/>
      <c r="E37" s="112"/>
      <c r="F37" s="113"/>
      <c r="G37" s="112"/>
      <c r="H37" s="112"/>
      <c r="N37" s="36"/>
    </row>
    <row r="38" spans="1:18" s="7" customFormat="1" ht="15" customHeight="1" x14ac:dyDescent="0.2">
      <c r="A38" s="68" t="s">
        <v>190</v>
      </c>
      <c r="B38" s="111"/>
      <c r="C38" s="111"/>
      <c r="E38" s="112"/>
      <c r="F38" s="113"/>
      <c r="G38" s="112"/>
      <c r="H38" s="112"/>
      <c r="N38" s="36"/>
    </row>
    <row r="39" spans="1:18" s="7" customFormat="1" ht="15" hidden="1" customHeight="1" x14ac:dyDescent="0.2">
      <c r="A39" s="33" t="s">
        <v>264</v>
      </c>
      <c r="B39" s="139"/>
      <c r="C39" s="139"/>
      <c r="D39" s="100"/>
      <c r="E39" s="32">
        <v>1</v>
      </c>
      <c r="F39" s="143" t="s">
        <v>93</v>
      </c>
      <c r="G39" s="32" t="s">
        <v>12</v>
      </c>
      <c r="H39" s="140" t="s">
        <v>49</v>
      </c>
      <c r="I39" s="100"/>
      <c r="J39" s="88"/>
      <c r="K39" s="100"/>
      <c r="L39" s="88"/>
      <c r="M39" s="100"/>
      <c r="N39" s="36"/>
      <c r="O39" s="100"/>
      <c r="P39" s="88"/>
      <c r="Q39" s="100"/>
      <c r="R39" s="49"/>
    </row>
    <row r="40" spans="1:18" s="7" customFormat="1" ht="15" hidden="1" customHeight="1" x14ac:dyDescent="0.2">
      <c r="A40" s="33" t="s">
        <v>241</v>
      </c>
      <c r="B40" s="139"/>
      <c r="C40" s="139"/>
      <c r="D40" s="100"/>
      <c r="E40" s="32">
        <v>1</v>
      </c>
      <c r="F40" s="143" t="s">
        <v>93</v>
      </c>
      <c r="G40" s="32" t="s">
        <v>29</v>
      </c>
      <c r="H40" s="140" t="s">
        <v>10</v>
      </c>
      <c r="I40" s="100"/>
      <c r="J40" s="88"/>
      <c r="K40" s="100"/>
      <c r="L40" s="88"/>
      <c r="M40" s="100"/>
      <c r="N40" s="36"/>
      <c r="O40" s="100"/>
      <c r="P40" s="88"/>
      <c r="Q40" s="100"/>
      <c r="R40" s="49"/>
    </row>
    <row r="41" spans="1:18" s="7" customFormat="1" ht="15" customHeight="1" x14ac:dyDescent="0.2">
      <c r="A41" s="33" t="s">
        <v>237</v>
      </c>
      <c r="B41" s="139"/>
      <c r="C41" s="139"/>
      <c r="D41" s="100"/>
      <c r="E41" s="32">
        <v>1</v>
      </c>
      <c r="F41" s="143" t="s">
        <v>93</v>
      </c>
      <c r="G41" s="32" t="s">
        <v>29</v>
      </c>
      <c r="H41" s="32" t="s">
        <v>17</v>
      </c>
      <c r="I41" s="100"/>
      <c r="J41" s="88">
        <v>196157.87</v>
      </c>
      <c r="K41" s="100"/>
      <c r="L41" s="88"/>
      <c r="M41" s="100"/>
      <c r="N41" s="36">
        <f t="shared" ref="N41:N43" si="3">P41-L41</f>
        <v>0</v>
      </c>
      <c r="O41" s="100"/>
      <c r="P41" s="88"/>
      <c r="Q41" s="100"/>
      <c r="R41" s="49"/>
    </row>
    <row r="42" spans="1:18" s="7" customFormat="1" ht="15" customHeight="1" x14ac:dyDescent="0.2">
      <c r="A42" s="33" t="s">
        <v>309</v>
      </c>
      <c r="B42" s="144"/>
      <c r="C42" s="144"/>
      <c r="D42" s="143"/>
      <c r="E42" s="32">
        <v>1</v>
      </c>
      <c r="F42" s="143" t="s">
        <v>93</v>
      </c>
      <c r="G42" s="32" t="s">
        <v>29</v>
      </c>
      <c r="H42" s="140" t="s">
        <v>49</v>
      </c>
      <c r="I42" s="100"/>
      <c r="J42" s="88">
        <v>1988807.07</v>
      </c>
      <c r="K42" s="100"/>
      <c r="L42" s="88"/>
      <c r="M42" s="100"/>
      <c r="N42" s="36">
        <f t="shared" si="3"/>
        <v>0</v>
      </c>
      <c r="O42" s="100"/>
      <c r="P42" s="88"/>
      <c r="Q42" s="100"/>
      <c r="R42" s="49"/>
    </row>
    <row r="43" spans="1:18" s="7" customFormat="1" ht="15" customHeight="1" x14ac:dyDescent="0.2">
      <c r="A43" s="33" t="s">
        <v>95</v>
      </c>
      <c r="B43" s="139"/>
      <c r="C43" s="139"/>
      <c r="D43" s="100"/>
      <c r="E43" s="32">
        <v>1</v>
      </c>
      <c r="F43" s="143" t="s">
        <v>93</v>
      </c>
      <c r="G43" s="32" t="s">
        <v>34</v>
      </c>
      <c r="H43" s="140" t="s">
        <v>8</v>
      </c>
      <c r="I43" s="100"/>
      <c r="J43" s="88"/>
      <c r="K43" s="100"/>
      <c r="L43" s="88"/>
      <c r="M43" s="100"/>
      <c r="N43" s="36">
        <f t="shared" si="3"/>
        <v>0</v>
      </c>
      <c r="O43" s="100"/>
      <c r="P43" s="88"/>
      <c r="Q43" s="100"/>
      <c r="R43" s="49"/>
    </row>
    <row r="44" spans="1:18" s="7" customFormat="1" ht="15" customHeight="1" x14ac:dyDescent="0.2">
      <c r="A44" s="33"/>
      <c r="B44" s="144"/>
      <c r="C44" s="144"/>
      <c r="D44" s="100"/>
      <c r="E44" s="32"/>
      <c r="F44" s="143"/>
      <c r="G44" s="32"/>
      <c r="H44" s="32"/>
      <c r="I44" s="100"/>
      <c r="J44" s="88"/>
      <c r="K44" s="100"/>
      <c r="L44" s="88"/>
      <c r="M44" s="100"/>
      <c r="N44" s="49"/>
      <c r="O44" s="100"/>
      <c r="P44" s="88"/>
      <c r="Q44" s="100"/>
      <c r="R44" s="49"/>
    </row>
    <row r="45" spans="1:18" s="7" customFormat="1" ht="15" customHeight="1" x14ac:dyDescent="0.2">
      <c r="A45" s="141" t="s">
        <v>323</v>
      </c>
      <c r="B45" s="111"/>
      <c r="C45" s="111"/>
      <c r="E45" s="322">
        <v>6999</v>
      </c>
      <c r="F45" s="322"/>
      <c r="G45" s="322"/>
      <c r="H45" s="322"/>
      <c r="N45" s="36"/>
    </row>
    <row r="46" spans="1:18" s="7" customFormat="1" ht="20.100000000000001" customHeight="1" x14ac:dyDescent="0.2">
      <c r="A46" s="142" t="s">
        <v>188</v>
      </c>
      <c r="B46" s="111"/>
      <c r="C46" s="111"/>
      <c r="E46" s="112"/>
      <c r="F46" s="113"/>
      <c r="G46" s="112"/>
      <c r="H46" s="114"/>
      <c r="N46" s="36"/>
    </row>
    <row r="47" spans="1:18" s="7" customFormat="1" ht="15" customHeight="1" x14ac:dyDescent="0.2">
      <c r="A47" s="33" t="s">
        <v>306</v>
      </c>
      <c r="B47" s="134"/>
      <c r="C47" s="134"/>
      <c r="D47" s="146"/>
      <c r="E47" s="158" t="s">
        <v>307</v>
      </c>
      <c r="F47" s="138" t="s">
        <v>12</v>
      </c>
      <c r="G47" s="140" t="s">
        <v>74</v>
      </c>
      <c r="H47" s="140" t="s">
        <v>15</v>
      </c>
      <c r="J47" s="7">
        <v>776759.15</v>
      </c>
      <c r="N47" s="36">
        <f t="shared" ref="N47" si="4">P47-L47</f>
        <v>0</v>
      </c>
    </row>
    <row r="48" spans="1:18" s="7" customFormat="1" ht="15" customHeight="1" x14ac:dyDescent="0.2">
      <c r="A48" s="33" t="s">
        <v>304</v>
      </c>
      <c r="B48" s="111"/>
      <c r="C48" s="111"/>
      <c r="E48" s="32">
        <v>5</v>
      </c>
      <c r="F48" s="138" t="s">
        <v>12</v>
      </c>
      <c r="G48" s="139">
        <v>13</v>
      </c>
      <c r="H48" s="140" t="s">
        <v>17</v>
      </c>
      <c r="I48" s="100"/>
      <c r="J48" s="7">
        <v>48638272.75</v>
      </c>
      <c r="K48" s="100"/>
      <c r="M48" s="100"/>
      <c r="N48" s="36">
        <v>14765200</v>
      </c>
      <c r="P48" s="36">
        <v>14765200</v>
      </c>
      <c r="R48" s="7">
        <v>33770500</v>
      </c>
    </row>
    <row r="49" spans="1:18" s="7" customFormat="1" ht="15" customHeight="1" x14ac:dyDescent="0.2">
      <c r="A49" s="33"/>
      <c r="B49" s="111"/>
      <c r="C49" s="111"/>
      <c r="E49" s="32"/>
      <c r="F49" s="138"/>
      <c r="G49" s="139"/>
      <c r="H49" s="140"/>
      <c r="N49" s="36"/>
    </row>
    <row r="50" spans="1:18" s="7" customFormat="1" ht="15" customHeight="1" x14ac:dyDescent="0.2">
      <c r="A50" s="68" t="s">
        <v>190</v>
      </c>
      <c r="B50" s="117"/>
      <c r="C50" s="117"/>
      <c r="E50" s="112"/>
      <c r="F50" s="113"/>
      <c r="G50" s="112"/>
      <c r="H50" s="112"/>
      <c r="N50" s="36"/>
    </row>
    <row r="51" spans="1:18" s="7" customFormat="1" ht="15" customHeight="1" x14ac:dyDescent="0.2">
      <c r="A51" s="33" t="s">
        <v>264</v>
      </c>
      <c r="B51" s="111"/>
      <c r="C51" s="111"/>
      <c r="E51" s="32">
        <v>1</v>
      </c>
      <c r="F51" s="143" t="s">
        <v>93</v>
      </c>
      <c r="G51" s="32" t="s">
        <v>12</v>
      </c>
      <c r="H51" s="140" t="s">
        <v>49</v>
      </c>
      <c r="J51" s="163">
        <v>11865228.199999999</v>
      </c>
      <c r="L51" s="49"/>
      <c r="N51" s="36">
        <v>2200000</v>
      </c>
      <c r="P51" s="164">
        <v>2200000</v>
      </c>
      <c r="R51" s="164">
        <v>4900000</v>
      </c>
    </row>
    <row r="52" spans="1:18" s="7" customFormat="1" ht="15" customHeight="1" x14ac:dyDescent="0.2">
      <c r="A52" s="33" t="s">
        <v>237</v>
      </c>
      <c r="B52" s="111"/>
      <c r="C52" s="111"/>
      <c r="D52" s="113"/>
      <c r="E52" s="32">
        <v>1</v>
      </c>
      <c r="F52" s="143" t="s">
        <v>93</v>
      </c>
      <c r="G52" s="32" t="s">
        <v>29</v>
      </c>
      <c r="H52" s="32" t="s">
        <v>17</v>
      </c>
      <c r="J52" s="163">
        <v>2468396.25</v>
      </c>
      <c r="L52" s="88"/>
      <c r="N52" s="36">
        <v>8400000</v>
      </c>
      <c r="P52" s="164">
        <v>8400000</v>
      </c>
      <c r="R52" s="164"/>
    </row>
    <row r="53" spans="1:18" s="7" customFormat="1" ht="15" customHeight="1" x14ac:dyDescent="0.2">
      <c r="A53" s="33" t="s">
        <v>238</v>
      </c>
      <c r="B53" s="111"/>
      <c r="C53" s="111"/>
      <c r="D53" s="113"/>
      <c r="E53" s="32">
        <v>1</v>
      </c>
      <c r="F53" s="143" t="s">
        <v>93</v>
      </c>
      <c r="G53" s="32" t="s">
        <v>29</v>
      </c>
      <c r="H53" s="140" t="s">
        <v>49</v>
      </c>
      <c r="J53" s="88">
        <v>5281617.2699999996</v>
      </c>
      <c r="L53" s="88"/>
      <c r="N53" s="36">
        <v>2775000</v>
      </c>
      <c r="P53" s="88">
        <v>2775000</v>
      </c>
      <c r="R53" s="49">
        <v>400000</v>
      </c>
    </row>
    <row r="54" spans="1:18" s="7" customFormat="1" ht="15" customHeight="1" x14ac:dyDescent="0.2">
      <c r="A54" s="33" t="s">
        <v>94</v>
      </c>
      <c r="B54" s="111"/>
      <c r="C54" s="111"/>
      <c r="D54" s="113"/>
      <c r="E54" s="32">
        <v>1</v>
      </c>
      <c r="F54" s="143" t="s">
        <v>93</v>
      </c>
      <c r="G54" s="32" t="s">
        <v>34</v>
      </c>
      <c r="H54" s="140" t="s">
        <v>8</v>
      </c>
      <c r="J54" s="88"/>
      <c r="L54" s="88"/>
      <c r="N54" s="36">
        <v>8350000</v>
      </c>
      <c r="P54" s="88">
        <v>8350000</v>
      </c>
      <c r="R54" s="49">
        <v>52805500</v>
      </c>
    </row>
    <row r="55" spans="1:18" s="7" customFormat="1" ht="15" customHeight="1" x14ac:dyDescent="0.2">
      <c r="A55" s="33" t="s">
        <v>95</v>
      </c>
      <c r="B55" s="111"/>
      <c r="C55" s="111"/>
      <c r="D55" s="113"/>
      <c r="E55" s="32">
        <v>1</v>
      </c>
      <c r="F55" s="143" t="s">
        <v>93</v>
      </c>
      <c r="G55" s="32" t="s">
        <v>34</v>
      </c>
      <c r="H55" s="32" t="s">
        <v>49</v>
      </c>
      <c r="J55" s="88">
        <v>200839974.99000001</v>
      </c>
      <c r="L55" s="88"/>
      <c r="N55" s="36">
        <v>41879800</v>
      </c>
      <c r="P55" s="164">
        <v>41879800</v>
      </c>
      <c r="R55" s="164">
        <v>76070000</v>
      </c>
    </row>
    <row r="56" spans="1:18" s="7" customFormat="1" ht="9.75" customHeight="1" x14ac:dyDescent="0.2">
      <c r="J56" s="129"/>
      <c r="L56" s="129"/>
      <c r="N56" s="174"/>
      <c r="P56" s="129"/>
      <c r="R56" s="129"/>
    </row>
    <row r="57" spans="1:18" s="7" customFormat="1" ht="20.100000000000001" customHeight="1" thickBot="1" x14ac:dyDescent="0.25">
      <c r="A57" s="11" t="s">
        <v>110</v>
      </c>
      <c r="B57" s="28"/>
      <c r="C57" s="28"/>
      <c r="J57" s="29">
        <f>SUM(J19:J56)</f>
        <v>427531042.58000004</v>
      </c>
      <c r="K57" s="23"/>
      <c r="L57" s="29">
        <f>SUM(L19:L56)</f>
        <v>0</v>
      </c>
      <c r="N57" s="29">
        <f>SUM(N19:N56)</f>
        <v>167840000</v>
      </c>
      <c r="P57" s="29">
        <f>SUM(P19:P56)</f>
        <v>167840000</v>
      </c>
      <c r="R57" s="29">
        <f>SUM(R19:R56)</f>
        <v>211600000</v>
      </c>
    </row>
    <row r="58" spans="1:18" s="7" customFormat="1" ht="20.100000000000001" customHeight="1" thickTop="1" x14ac:dyDescent="0.2">
      <c r="A58" s="11"/>
      <c r="B58" s="28"/>
      <c r="C58" s="28"/>
      <c r="J58" s="23"/>
      <c r="K58" s="23"/>
      <c r="L58" s="23"/>
      <c r="N58" s="23"/>
      <c r="P58" s="23"/>
      <c r="R58" s="23"/>
    </row>
    <row r="59" spans="1:18" x14ac:dyDescent="0.2">
      <c r="B59" s="96"/>
      <c r="C59" s="120" t="s">
        <v>133</v>
      </c>
      <c r="D59" s="33"/>
      <c r="E59" s="32"/>
      <c r="G59" s="31"/>
      <c r="I59" s="31"/>
      <c r="J59" s="321" t="s">
        <v>276</v>
      </c>
      <c r="K59" s="321"/>
      <c r="L59" s="321"/>
      <c r="M59" s="47"/>
      <c r="N59" s="49"/>
      <c r="O59" s="49"/>
      <c r="P59" s="48" t="s">
        <v>135</v>
      </c>
    </row>
    <row r="60" spans="1:18" x14ac:dyDescent="0.2">
      <c r="A60" s="75"/>
      <c r="B60" s="96"/>
      <c r="C60" s="119"/>
      <c r="D60" s="33"/>
      <c r="E60" s="32"/>
      <c r="G60" s="31"/>
      <c r="I60" s="31"/>
      <c r="J60" s="120"/>
      <c r="K60" s="120"/>
      <c r="L60" s="120"/>
      <c r="M60" s="47"/>
      <c r="N60" s="49"/>
      <c r="O60" s="49"/>
      <c r="P60" s="48"/>
    </row>
    <row r="61" spans="1:18" x14ac:dyDescent="0.2">
      <c r="A61" s="52"/>
      <c r="B61" s="96"/>
      <c r="C61" s="119"/>
      <c r="D61" s="31"/>
      <c r="E61" s="53"/>
      <c r="G61" s="31"/>
      <c r="I61" s="31"/>
      <c r="J61" s="31"/>
      <c r="M61" s="31"/>
      <c r="P61" s="53"/>
    </row>
    <row r="62" spans="1:18" x14ac:dyDescent="0.2">
      <c r="B62" s="96"/>
      <c r="C62" s="121" t="s">
        <v>222</v>
      </c>
      <c r="D62" s="55"/>
      <c r="E62" s="56"/>
      <c r="G62" s="31"/>
      <c r="I62" s="31"/>
      <c r="J62" s="322" t="s">
        <v>291</v>
      </c>
      <c r="K62" s="322"/>
      <c r="L62" s="322"/>
      <c r="M62" s="57"/>
      <c r="N62" s="59"/>
      <c r="O62" s="59"/>
      <c r="P62" s="58" t="s">
        <v>137</v>
      </c>
    </row>
    <row r="63" spans="1:18" x14ac:dyDescent="0.2">
      <c r="B63" s="96"/>
      <c r="C63" s="120" t="s">
        <v>282</v>
      </c>
      <c r="D63" s="31"/>
      <c r="E63" s="32"/>
      <c r="G63" s="31"/>
      <c r="I63" s="31"/>
      <c r="J63" s="321" t="s">
        <v>269</v>
      </c>
      <c r="K63" s="321"/>
      <c r="L63" s="321"/>
      <c r="M63" s="33"/>
      <c r="N63" s="35"/>
      <c r="O63" s="35"/>
      <c r="P63" s="60" t="s">
        <v>139</v>
      </c>
    </row>
    <row r="64" spans="1:18" x14ac:dyDescent="0.2">
      <c r="B64" s="96"/>
    </row>
  </sheetData>
  <customSheetViews>
    <customSheetView guid="{1998FCB8-1FEB-4076-ACE6-A225EE4366B3}" showPageBreaks="1" printArea="1" hiddenRows="1" view="pageBreakPreview">
      <pane xSplit="1" ySplit="14" topLeftCell="B51" activePane="bottomRight" state="frozen"/>
      <selection pane="bottomRight" activeCell="R55" sqref="R55"/>
      <rowBreaks count="1" manualBreakCount="1">
        <brk id="41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51" activePane="bottomRight" state="frozen"/>
      <selection pane="bottomRight" activeCell="R55" sqref="R55"/>
      <rowBreaks count="1" manualBreakCount="1">
        <brk id="4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A1:S1"/>
    <mergeCell ref="A2:S2"/>
    <mergeCell ref="L9:P9"/>
    <mergeCell ref="P10:P12"/>
    <mergeCell ref="A11:C11"/>
    <mergeCell ref="E11:H11"/>
    <mergeCell ref="J59:L59"/>
    <mergeCell ref="J62:L62"/>
    <mergeCell ref="J63:L63"/>
    <mergeCell ref="A13:C13"/>
    <mergeCell ref="E13:H13"/>
    <mergeCell ref="A15:C16"/>
    <mergeCell ref="E15:H16"/>
    <mergeCell ref="E34:H34"/>
    <mergeCell ref="E45:H45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3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zoomScaleSheetLayoutView="9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E10" sqref="E1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53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52"/>
      <c r="B12" s="152"/>
      <c r="C12" s="152"/>
      <c r="D12" s="9"/>
      <c r="E12" s="152"/>
      <c r="F12" s="152"/>
      <c r="G12" s="152"/>
      <c r="H12" s="152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7">
        <v>23099546.030000001</v>
      </c>
      <c r="K16" s="13"/>
      <c r="L16" s="7">
        <v>12703130.25</v>
      </c>
      <c r="N16" s="7">
        <f>P16-L16</f>
        <v>22376059.490000002</v>
      </c>
      <c r="P16" s="7">
        <v>35079189.740000002</v>
      </c>
      <c r="R16" s="7">
        <v>26904135.920000002</v>
      </c>
    </row>
    <row r="17" spans="1:18" s="7" customFormat="1" ht="12.75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7">
        <v>87193451.329999998</v>
      </c>
      <c r="K17" s="39"/>
      <c r="L17" s="7">
        <v>42566936.18</v>
      </c>
      <c r="N17" s="7">
        <f t="shared" ref="N17:N33" si="0">P17-L17</f>
        <v>105623607.81999999</v>
      </c>
      <c r="P17" s="7">
        <v>148190544</v>
      </c>
      <c r="R17" s="7">
        <v>125952108</v>
      </c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7">
        <v>16484062.1</v>
      </c>
      <c r="K18" s="13"/>
      <c r="L18" s="7">
        <v>7647190.3399999999</v>
      </c>
      <c r="N18" s="7">
        <f t="shared" si="0"/>
        <v>17864809.66</v>
      </c>
      <c r="P18" s="7">
        <v>25512000</v>
      </c>
      <c r="R18" s="7">
        <v>19920000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132000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7">
        <v>371000</v>
      </c>
      <c r="K21" s="13"/>
      <c r="L21" s="7">
        <v>354000</v>
      </c>
      <c r="N21" s="7">
        <f t="shared" si="0"/>
        <v>144000</v>
      </c>
      <c r="P21" s="7">
        <v>498000</v>
      </c>
      <c r="R21" s="7">
        <v>390000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K22" s="13"/>
    </row>
    <row r="23" spans="1:18" s="7" customFormat="1" ht="12.75" customHeight="1" x14ac:dyDescent="0.2">
      <c r="A23" s="86" t="s">
        <v>18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19</v>
      </c>
      <c r="K23" s="13"/>
      <c r="N23" s="7">
        <f t="shared" si="0"/>
        <v>86625</v>
      </c>
      <c r="P23" s="7">
        <v>86625</v>
      </c>
      <c r="R23" s="7">
        <v>86625</v>
      </c>
    </row>
    <row r="24" spans="1:18" s="7" customFormat="1" ht="12.75" customHeight="1" x14ac:dyDescent="0.2">
      <c r="A24" s="86" t="s">
        <v>23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24</v>
      </c>
      <c r="J24" s="7">
        <v>1337029.3799999999</v>
      </c>
      <c r="L24" s="7">
        <v>572634.01</v>
      </c>
      <c r="N24" s="7">
        <f t="shared" si="0"/>
        <v>4427365.99</v>
      </c>
      <c r="P24" s="7">
        <v>5000000</v>
      </c>
      <c r="R24" s="7">
        <v>5000000</v>
      </c>
    </row>
    <row r="25" spans="1:18" s="7" customFormat="1" ht="12.75" customHeight="1" x14ac:dyDescent="0.2">
      <c r="A25" s="86" t="s">
        <v>27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28</v>
      </c>
      <c r="J25" s="7">
        <v>9178167.5</v>
      </c>
      <c r="N25" s="7">
        <f>P25-L25</f>
        <v>16147564</v>
      </c>
      <c r="P25" s="7">
        <v>16147564</v>
      </c>
      <c r="R25" s="7">
        <v>12740703</v>
      </c>
    </row>
    <row r="26" spans="1:18" s="7" customFormat="1" ht="12.75" customHeight="1" x14ac:dyDescent="0.2">
      <c r="A26" s="86" t="s">
        <v>25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26</v>
      </c>
      <c r="J26" s="7">
        <v>3357500</v>
      </c>
      <c r="N26" s="7">
        <f t="shared" si="0"/>
        <v>5315000</v>
      </c>
      <c r="P26" s="7">
        <v>5315000</v>
      </c>
      <c r="R26" s="7">
        <v>4150000</v>
      </c>
    </row>
    <row r="27" spans="1:18" s="7" customFormat="1" ht="12.75" customHeight="1" x14ac:dyDescent="0.2">
      <c r="A27" s="86" t="s">
        <v>140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49</v>
      </c>
      <c r="J27" s="7">
        <v>8354046</v>
      </c>
      <c r="K27" s="13"/>
      <c r="L27" s="7">
        <v>9643396</v>
      </c>
      <c r="N27" s="7">
        <f>P27-L27</f>
        <v>6480896</v>
      </c>
      <c r="P27" s="7">
        <v>16124292</v>
      </c>
      <c r="R27" s="7">
        <v>12740703</v>
      </c>
    </row>
    <row r="28" spans="1:18" s="7" customFormat="1" ht="12.75" customHeight="1" x14ac:dyDescent="0.2">
      <c r="A28" s="86" t="s">
        <v>263</v>
      </c>
      <c r="B28" s="111"/>
      <c r="C28" s="111"/>
      <c r="D28" s="112"/>
      <c r="E28" s="112">
        <v>5</v>
      </c>
      <c r="F28" s="113" t="s">
        <v>7</v>
      </c>
      <c r="G28" s="112" t="s">
        <v>29</v>
      </c>
      <c r="H28" s="112" t="s">
        <v>8</v>
      </c>
      <c r="J28" s="7">
        <v>12952714.27</v>
      </c>
      <c r="L28" s="7">
        <v>6963510.3300000001</v>
      </c>
      <c r="N28" s="7">
        <f t="shared" si="0"/>
        <v>14976421.83</v>
      </c>
      <c r="P28" s="7">
        <v>21939932.16</v>
      </c>
      <c r="R28" s="7">
        <v>18346612.32</v>
      </c>
    </row>
    <row r="29" spans="1:18" s="7" customFormat="1" ht="12.75" customHeight="1" x14ac:dyDescent="0.2">
      <c r="A29" s="86" t="s">
        <v>30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10</v>
      </c>
      <c r="J29" s="7">
        <v>822700</v>
      </c>
      <c r="L29" s="7">
        <v>409900</v>
      </c>
      <c r="N29" s="7">
        <f t="shared" si="0"/>
        <v>865700</v>
      </c>
      <c r="P29" s="7">
        <v>1275600</v>
      </c>
      <c r="R29" s="7">
        <v>996000</v>
      </c>
    </row>
    <row r="30" spans="1:18" s="7" customFormat="1" ht="12.75" customHeight="1" x14ac:dyDescent="0.2">
      <c r="A30" s="86" t="s">
        <v>31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15</v>
      </c>
      <c r="J30" s="7">
        <v>1502582.46</v>
      </c>
      <c r="L30" s="7">
        <v>781051.99</v>
      </c>
      <c r="N30" s="7">
        <f t="shared" si="0"/>
        <v>1658708.9600000002</v>
      </c>
      <c r="P30" s="7">
        <v>2439760.9500000002</v>
      </c>
      <c r="R30" s="7">
        <v>2647235.64</v>
      </c>
    </row>
    <row r="31" spans="1:18" s="7" customFormat="1" ht="12.75" customHeight="1" x14ac:dyDescent="0.2">
      <c r="A31" s="86" t="s">
        <v>32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17</v>
      </c>
      <c r="J31" s="7">
        <v>817645.03</v>
      </c>
      <c r="L31" s="7">
        <v>409336.82</v>
      </c>
      <c r="N31" s="7">
        <f t="shared" si="0"/>
        <v>866263.17999999993</v>
      </c>
      <c r="P31" s="7">
        <v>1275600</v>
      </c>
      <c r="R31" s="7">
        <v>996000</v>
      </c>
    </row>
    <row r="32" spans="1:18" s="7" customFormat="1" ht="12.75" customHeight="1" x14ac:dyDescent="0.2">
      <c r="A32" s="86" t="s">
        <v>33</v>
      </c>
      <c r="B32" s="111"/>
      <c r="C32" s="111"/>
      <c r="D32" s="112"/>
      <c r="E32" s="112">
        <v>5</v>
      </c>
      <c r="F32" s="113" t="s">
        <v>7</v>
      </c>
      <c r="G32" s="112" t="s">
        <v>34</v>
      </c>
      <c r="H32" s="112" t="s">
        <v>15</v>
      </c>
      <c r="J32" s="7">
        <v>582864.85</v>
      </c>
      <c r="N32" s="7">
        <f t="shared" si="0"/>
        <v>2173574.17</v>
      </c>
      <c r="P32" s="7">
        <v>2173574.17</v>
      </c>
      <c r="R32" s="7">
        <v>255214.92</v>
      </c>
    </row>
    <row r="33" spans="1:18" s="7" customFormat="1" ht="12.75" customHeight="1" x14ac:dyDescent="0.2">
      <c r="A33" s="86" t="s">
        <v>35</v>
      </c>
      <c r="B33" s="111"/>
      <c r="C33" s="111"/>
      <c r="D33" s="112"/>
      <c r="E33" s="112">
        <v>5</v>
      </c>
      <c r="F33" s="113" t="s">
        <v>7</v>
      </c>
      <c r="G33" s="112" t="s">
        <v>34</v>
      </c>
      <c r="H33" s="112" t="s">
        <v>49</v>
      </c>
      <c r="J33" s="7">
        <v>6236986.4900000002</v>
      </c>
      <c r="N33" s="7">
        <f t="shared" si="0"/>
        <v>5315000</v>
      </c>
      <c r="P33" s="7">
        <v>5315000</v>
      </c>
      <c r="R33" s="7">
        <v>4150000</v>
      </c>
    </row>
    <row r="34" spans="1:18" s="7" customFormat="1" ht="18.95" customHeight="1" x14ac:dyDescent="0.2">
      <c r="A34" s="102" t="s">
        <v>36</v>
      </c>
      <c r="B34" s="26"/>
      <c r="C34" s="26"/>
      <c r="J34" s="22">
        <f>SUM(J16:J33)</f>
        <v>172602295.44</v>
      </c>
      <c r="K34" s="18"/>
      <c r="L34" s="22">
        <f>SUM(L16:L33)</f>
        <v>82207085.919999987</v>
      </c>
      <c r="N34" s="22">
        <f>SUM(N16:N33)</f>
        <v>204510596.10000002</v>
      </c>
      <c r="P34" s="22">
        <f>SUM(P16:P33)</f>
        <v>286717682.02000004</v>
      </c>
      <c r="R34" s="22">
        <f>SUM(R16:R33)</f>
        <v>235407337.79999998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86" t="s">
        <v>37</v>
      </c>
      <c r="B37" s="111"/>
      <c r="C37" s="111"/>
      <c r="D37" s="112"/>
      <c r="E37" s="112">
        <v>5</v>
      </c>
      <c r="F37" s="113" t="s">
        <v>12</v>
      </c>
      <c r="G37" s="112" t="s">
        <v>7</v>
      </c>
      <c r="H37" s="112" t="s">
        <v>8</v>
      </c>
      <c r="J37" s="7">
        <v>56064</v>
      </c>
      <c r="L37" s="7">
        <v>3720</v>
      </c>
      <c r="N37" s="7">
        <f t="shared" ref="N37:N68" si="1">P37-L37</f>
        <v>1758480</v>
      </c>
      <c r="P37" s="7">
        <v>1762200</v>
      </c>
      <c r="R37" s="7">
        <v>820600</v>
      </c>
    </row>
    <row r="38" spans="1:18" s="7" customFormat="1" ht="12.75" customHeight="1" x14ac:dyDescent="0.2">
      <c r="A38" s="86" t="s">
        <v>38</v>
      </c>
      <c r="B38" s="111"/>
      <c r="C38" s="111"/>
      <c r="E38" s="112">
        <v>5</v>
      </c>
      <c r="F38" s="113" t="s">
        <v>12</v>
      </c>
      <c r="G38" s="112" t="s">
        <v>7</v>
      </c>
      <c r="H38" s="112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86" t="s">
        <v>39</v>
      </c>
      <c r="B39" s="111"/>
      <c r="C39" s="111"/>
      <c r="E39" s="112">
        <v>5</v>
      </c>
      <c r="F39" s="113" t="s">
        <v>12</v>
      </c>
      <c r="G39" s="112" t="s">
        <v>12</v>
      </c>
      <c r="H39" s="112" t="s">
        <v>8</v>
      </c>
      <c r="J39" s="7">
        <v>16060</v>
      </c>
      <c r="L39" s="7">
        <v>610</v>
      </c>
      <c r="N39" s="7">
        <f t="shared" si="1"/>
        <v>2929390</v>
      </c>
      <c r="P39" s="7">
        <v>2930000</v>
      </c>
      <c r="R39" s="7">
        <v>2900000</v>
      </c>
    </row>
    <row r="40" spans="1:18" s="7" customFormat="1" ht="12.75" customHeight="1" x14ac:dyDescent="0.2">
      <c r="A40" s="86" t="s">
        <v>142</v>
      </c>
      <c r="B40" s="111"/>
      <c r="C40" s="111"/>
      <c r="D40" s="112"/>
      <c r="E40" s="112">
        <v>5</v>
      </c>
      <c r="F40" s="113" t="s">
        <v>12</v>
      </c>
      <c r="G40" s="112" t="s">
        <v>12</v>
      </c>
      <c r="H40" s="112" t="s">
        <v>10</v>
      </c>
      <c r="J40" s="7">
        <v>5197000</v>
      </c>
      <c r="L40" s="7">
        <v>81500</v>
      </c>
      <c r="N40" s="7">
        <f t="shared" si="1"/>
        <v>25868500</v>
      </c>
      <c r="P40" s="7">
        <v>25950000</v>
      </c>
    </row>
    <row r="41" spans="1:18" s="7" customFormat="1" ht="12.75" customHeight="1" x14ac:dyDescent="0.2">
      <c r="A41" s="86" t="s">
        <v>40</v>
      </c>
      <c r="B41" s="111"/>
      <c r="C41" s="111"/>
      <c r="D41" s="112"/>
      <c r="E41" s="112">
        <v>5</v>
      </c>
      <c r="F41" s="113" t="s">
        <v>12</v>
      </c>
      <c r="G41" s="112" t="s">
        <v>29</v>
      </c>
      <c r="H41" s="112" t="s">
        <v>8</v>
      </c>
      <c r="J41" s="7">
        <v>291750</v>
      </c>
      <c r="L41" s="7">
        <v>65582.25</v>
      </c>
      <c r="N41" s="7">
        <f t="shared" si="1"/>
        <v>1184417.75</v>
      </c>
      <c r="P41" s="7">
        <v>1250000</v>
      </c>
      <c r="R41" s="7">
        <v>2400000</v>
      </c>
    </row>
    <row r="42" spans="1:18" s="7" customFormat="1" ht="12.75" customHeight="1" x14ac:dyDescent="0.2">
      <c r="A42" s="86" t="s">
        <v>88</v>
      </c>
      <c r="B42" s="111"/>
      <c r="C42" s="111"/>
      <c r="E42" s="112">
        <v>5</v>
      </c>
      <c r="F42" s="113" t="s">
        <v>12</v>
      </c>
      <c r="G42" s="112" t="s">
        <v>29</v>
      </c>
      <c r="H42" s="112" t="s">
        <v>60</v>
      </c>
      <c r="N42" s="7">
        <f t="shared" si="1"/>
        <v>4000000</v>
      </c>
      <c r="P42" s="7">
        <v>4000000</v>
      </c>
      <c r="R42" s="7">
        <v>4000000</v>
      </c>
    </row>
    <row r="43" spans="1:18" s="7" customFormat="1" ht="12.75" customHeight="1" x14ac:dyDescent="0.2">
      <c r="A43" s="86" t="s">
        <v>44</v>
      </c>
      <c r="B43" s="111"/>
      <c r="C43" s="111"/>
      <c r="D43" s="112"/>
      <c r="E43" s="112">
        <v>5</v>
      </c>
      <c r="F43" s="113" t="s">
        <v>12</v>
      </c>
      <c r="G43" s="112" t="s">
        <v>29</v>
      </c>
      <c r="H43" s="112" t="s">
        <v>45</v>
      </c>
      <c r="J43" s="7">
        <v>4058759.85</v>
      </c>
      <c r="K43" s="19"/>
      <c r="L43" s="7">
        <v>1614694.3</v>
      </c>
      <c r="N43" s="7">
        <f t="shared" si="1"/>
        <v>6597305.7000000002</v>
      </c>
      <c r="P43" s="7">
        <v>8212000</v>
      </c>
      <c r="R43" s="7">
        <v>9572000</v>
      </c>
    </row>
    <row r="44" spans="1:18" s="7" customFormat="1" ht="12.75" customHeight="1" x14ac:dyDescent="0.2">
      <c r="A44" s="86" t="s">
        <v>46</v>
      </c>
      <c r="B44" s="111"/>
      <c r="C44" s="111"/>
      <c r="D44" s="112"/>
      <c r="E44" s="112">
        <v>5</v>
      </c>
      <c r="F44" s="113" t="s">
        <v>12</v>
      </c>
      <c r="G44" s="112" t="s">
        <v>29</v>
      </c>
      <c r="H44" s="112" t="s">
        <v>47</v>
      </c>
      <c r="N44" s="7">
        <f t="shared" si="1"/>
        <v>7000000</v>
      </c>
      <c r="P44" s="7">
        <v>7000000</v>
      </c>
      <c r="R44" s="7">
        <v>4000000</v>
      </c>
    </row>
    <row r="45" spans="1:18" s="7" customFormat="1" ht="12.75" customHeight="1" x14ac:dyDescent="0.2">
      <c r="A45" s="86" t="s">
        <v>48</v>
      </c>
      <c r="B45" s="111"/>
      <c r="C45" s="111"/>
      <c r="E45" s="112">
        <v>5</v>
      </c>
      <c r="F45" s="113" t="s">
        <v>12</v>
      </c>
      <c r="G45" s="112" t="s">
        <v>29</v>
      </c>
      <c r="H45" s="114" t="s">
        <v>49</v>
      </c>
      <c r="J45" s="7">
        <v>42113000.5</v>
      </c>
      <c r="L45" s="7">
        <v>962092</v>
      </c>
      <c r="N45" s="7">
        <f t="shared" si="1"/>
        <v>11619408</v>
      </c>
      <c r="P45" s="7">
        <v>12581500</v>
      </c>
      <c r="R45" s="7">
        <v>11281500</v>
      </c>
    </row>
    <row r="46" spans="1:18" s="7" customFormat="1" ht="12.75" customHeight="1" x14ac:dyDescent="0.2">
      <c r="A46" s="86" t="s">
        <v>53</v>
      </c>
      <c r="B46" s="111"/>
      <c r="C46" s="111"/>
      <c r="E46" s="112">
        <v>5</v>
      </c>
      <c r="F46" s="113" t="s">
        <v>12</v>
      </c>
      <c r="G46" s="112" t="s">
        <v>54</v>
      </c>
      <c r="H46" s="112" t="s">
        <v>8</v>
      </c>
      <c r="N46" s="7">
        <f t="shared" si="1"/>
        <v>50000</v>
      </c>
      <c r="P46" s="7">
        <v>50000</v>
      </c>
      <c r="R46" s="7">
        <v>60800</v>
      </c>
    </row>
    <row r="47" spans="1:18" s="7" customFormat="1" ht="12.75" customHeight="1" x14ac:dyDescent="0.2">
      <c r="A47" s="86" t="s">
        <v>55</v>
      </c>
      <c r="B47" s="111"/>
      <c r="C47" s="111"/>
      <c r="E47" s="112">
        <v>5</v>
      </c>
      <c r="F47" s="113" t="s">
        <v>12</v>
      </c>
      <c r="G47" s="112" t="s">
        <v>54</v>
      </c>
      <c r="H47" s="112" t="s">
        <v>10</v>
      </c>
      <c r="J47" s="7">
        <v>120954.9</v>
      </c>
      <c r="L47" s="7">
        <v>40561.18</v>
      </c>
      <c r="N47" s="7">
        <f t="shared" si="1"/>
        <v>379438.82</v>
      </c>
      <c r="P47" s="7">
        <v>420000</v>
      </c>
      <c r="R47" s="7">
        <v>466752</v>
      </c>
    </row>
    <row r="48" spans="1:18" s="7" customFormat="1" ht="12.75" customHeight="1" x14ac:dyDescent="0.2">
      <c r="A48" s="86" t="s">
        <v>56</v>
      </c>
      <c r="B48" s="111"/>
      <c r="C48" s="111"/>
      <c r="E48" s="112">
        <v>5</v>
      </c>
      <c r="F48" s="113" t="s">
        <v>12</v>
      </c>
      <c r="G48" s="112" t="s">
        <v>54</v>
      </c>
      <c r="H48" s="112" t="s">
        <v>15</v>
      </c>
      <c r="J48" s="7">
        <v>8462.81</v>
      </c>
      <c r="L48" s="7">
        <v>4673</v>
      </c>
      <c r="N48" s="7">
        <f t="shared" si="1"/>
        <v>95327</v>
      </c>
      <c r="P48" s="7">
        <v>100000</v>
      </c>
      <c r="R48" s="7">
        <v>100000</v>
      </c>
    </row>
    <row r="49" spans="1:18" s="7" customFormat="1" ht="12.75" customHeight="1" x14ac:dyDescent="0.2">
      <c r="A49" s="86" t="s">
        <v>57</v>
      </c>
      <c r="B49" s="111"/>
      <c r="C49" s="111"/>
      <c r="E49" s="112">
        <v>5</v>
      </c>
      <c r="F49" s="113" t="s">
        <v>12</v>
      </c>
      <c r="G49" s="112" t="s">
        <v>54</v>
      </c>
      <c r="H49" s="112" t="s">
        <v>17</v>
      </c>
      <c r="N49" s="7">
        <f t="shared" si="1"/>
        <v>50000</v>
      </c>
      <c r="P49" s="7">
        <v>50000</v>
      </c>
      <c r="R49" s="7">
        <v>50000</v>
      </c>
    </row>
    <row r="50" spans="1:18" s="7" customFormat="1" ht="12.75" customHeight="1" x14ac:dyDescent="0.2">
      <c r="A50" s="86" t="s">
        <v>66</v>
      </c>
      <c r="B50" s="111"/>
      <c r="C50" s="111"/>
      <c r="E50" s="112">
        <v>5</v>
      </c>
      <c r="F50" s="113" t="s">
        <v>12</v>
      </c>
      <c r="G50" s="112" t="s">
        <v>67</v>
      </c>
      <c r="H50" s="112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86" t="s">
        <v>61</v>
      </c>
      <c r="B51" s="111"/>
      <c r="C51" s="111"/>
      <c r="E51" s="112">
        <v>5</v>
      </c>
      <c r="F51" s="113" t="s">
        <v>12</v>
      </c>
      <c r="G51" s="112" t="s">
        <v>59</v>
      </c>
      <c r="H51" s="112" t="s">
        <v>8</v>
      </c>
      <c r="N51" s="7">
        <f t="shared" si="1"/>
        <v>1500000</v>
      </c>
      <c r="P51" s="7">
        <v>1500000</v>
      </c>
      <c r="R51" s="7">
        <v>1000000</v>
      </c>
    </row>
    <row r="52" spans="1:18" s="7" customFormat="1" ht="12.75" customHeight="1" x14ac:dyDescent="0.2">
      <c r="A52" s="86" t="s">
        <v>62</v>
      </c>
      <c r="B52" s="111"/>
      <c r="C52" s="111"/>
      <c r="E52" s="112">
        <v>5</v>
      </c>
      <c r="F52" s="113" t="s">
        <v>12</v>
      </c>
      <c r="G52" s="112" t="s">
        <v>59</v>
      </c>
      <c r="H52" s="112" t="s">
        <v>10</v>
      </c>
      <c r="N52" s="7">
        <f t="shared" si="1"/>
        <v>2672000</v>
      </c>
      <c r="P52" s="7">
        <v>2672000</v>
      </c>
      <c r="R52" s="7">
        <v>1200000</v>
      </c>
    </row>
    <row r="53" spans="1:18" s="7" customFormat="1" ht="12.75" customHeight="1" x14ac:dyDescent="0.2">
      <c r="A53" s="86" t="s">
        <v>63</v>
      </c>
      <c r="B53" s="111"/>
      <c r="C53" s="111"/>
      <c r="E53" s="112">
        <v>5</v>
      </c>
      <c r="F53" s="113" t="s">
        <v>12</v>
      </c>
      <c r="G53" s="112" t="s">
        <v>59</v>
      </c>
      <c r="H53" s="112" t="s">
        <v>64</v>
      </c>
      <c r="J53" s="7">
        <v>82900</v>
      </c>
      <c r="L53" s="7">
        <v>245500</v>
      </c>
      <c r="N53" s="7">
        <f t="shared" si="1"/>
        <v>3254500</v>
      </c>
      <c r="P53" s="7">
        <v>3500000</v>
      </c>
      <c r="R53" s="7">
        <v>1000000</v>
      </c>
    </row>
    <row r="54" spans="1:18" s="7" customFormat="1" ht="12.75" customHeight="1" x14ac:dyDescent="0.2">
      <c r="A54" s="86" t="s">
        <v>65</v>
      </c>
      <c r="B54" s="111"/>
      <c r="C54" s="111"/>
      <c r="E54" s="112">
        <v>5</v>
      </c>
      <c r="F54" s="113" t="s">
        <v>12</v>
      </c>
      <c r="G54" s="112" t="s">
        <v>59</v>
      </c>
      <c r="H54" s="112" t="s">
        <v>19</v>
      </c>
      <c r="N54" s="7">
        <f t="shared" si="1"/>
        <v>350000</v>
      </c>
      <c r="P54" s="7">
        <v>350000</v>
      </c>
      <c r="R54" s="7">
        <v>150000</v>
      </c>
    </row>
    <row r="55" spans="1:18" s="7" customFormat="1" ht="12.75" customHeight="1" x14ac:dyDescent="0.2">
      <c r="A55" s="86" t="s">
        <v>68</v>
      </c>
      <c r="B55" s="111"/>
      <c r="C55" s="111"/>
      <c r="E55" s="112">
        <v>5</v>
      </c>
      <c r="F55" s="113" t="s">
        <v>12</v>
      </c>
      <c r="G55" s="112" t="s">
        <v>67</v>
      </c>
      <c r="H55" s="112" t="s">
        <v>10</v>
      </c>
      <c r="J55" s="7">
        <v>4349232.0999999996</v>
      </c>
      <c r="L55" s="7">
        <v>125000</v>
      </c>
      <c r="N55" s="7">
        <f t="shared" si="1"/>
        <v>25375000</v>
      </c>
      <c r="P55" s="7">
        <v>25500000</v>
      </c>
      <c r="R55" s="7">
        <v>1500000</v>
      </c>
    </row>
    <row r="56" spans="1:18" s="7" customFormat="1" ht="12.75" customHeight="1" x14ac:dyDescent="0.2">
      <c r="A56" s="86" t="s">
        <v>69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15</v>
      </c>
      <c r="J56" s="7">
        <v>1142263.6599999999</v>
      </c>
      <c r="L56" s="7">
        <v>519663.06</v>
      </c>
      <c r="N56" s="7">
        <f t="shared" si="1"/>
        <v>1059392.94</v>
      </c>
      <c r="P56" s="7">
        <v>1579056</v>
      </c>
      <c r="R56" s="7">
        <v>1517688</v>
      </c>
    </row>
    <row r="57" spans="1:18" s="7" customFormat="1" ht="12.75" customHeight="1" x14ac:dyDescent="0.2">
      <c r="A57" s="86" t="s">
        <v>72</v>
      </c>
      <c r="B57" s="111"/>
      <c r="C57" s="111"/>
      <c r="E57" s="112">
        <v>5</v>
      </c>
      <c r="F57" s="113" t="s">
        <v>12</v>
      </c>
      <c r="G57" s="112" t="s">
        <v>70</v>
      </c>
      <c r="H57" s="112" t="s">
        <v>49</v>
      </c>
      <c r="J57" s="7">
        <v>4109296</v>
      </c>
      <c r="L57" s="7">
        <v>63000</v>
      </c>
      <c r="N57" s="7">
        <f t="shared" si="1"/>
        <v>4982600</v>
      </c>
      <c r="P57" s="7">
        <v>5045600</v>
      </c>
      <c r="R57" s="7">
        <v>5961000</v>
      </c>
    </row>
    <row r="58" spans="1:18" s="7" customFormat="1" ht="12.75" customHeight="1" x14ac:dyDescent="0.2">
      <c r="A58" s="86" t="s">
        <v>73</v>
      </c>
      <c r="B58" s="111"/>
      <c r="C58" s="111"/>
      <c r="E58" s="112">
        <v>5</v>
      </c>
      <c r="F58" s="113" t="s">
        <v>12</v>
      </c>
      <c r="G58" s="112" t="s">
        <v>74</v>
      </c>
      <c r="H58" s="112" t="s">
        <v>64</v>
      </c>
      <c r="J58" s="7">
        <v>40685</v>
      </c>
      <c r="N58" s="7">
        <f t="shared" si="1"/>
        <v>1610000</v>
      </c>
      <c r="P58" s="7">
        <v>1610000</v>
      </c>
      <c r="R58" s="7">
        <v>1000000</v>
      </c>
    </row>
    <row r="59" spans="1:18" s="7" customFormat="1" ht="12.75" customHeight="1" x14ac:dyDescent="0.2">
      <c r="A59" s="86" t="s">
        <v>75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19</v>
      </c>
      <c r="N59" s="7">
        <f t="shared" si="1"/>
        <v>250000</v>
      </c>
      <c r="P59" s="7">
        <v>250000</v>
      </c>
    </row>
    <row r="60" spans="1:18" s="7" customFormat="1" ht="12.75" customHeight="1" x14ac:dyDescent="0.2">
      <c r="A60" s="86" t="s">
        <v>77</v>
      </c>
      <c r="B60" s="111"/>
      <c r="C60" s="111"/>
      <c r="E60" s="112">
        <v>5</v>
      </c>
      <c r="F60" s="113" t="s">
        <v>12</v>
      </c>
      <c r="G60" s="112" t="s">
        <v>74</v>
      </c>
      <c r="H60" s="112" t="s">
        <v>49</v>
      </c>
      <c r="N60" s="7">
        <f t="shared" si="1"/>
        <v>300000</v>
      </c>
      <c r="P60" s="7">
        <v>300000</v>
      </c>
    </row>
    <row r="61" spans="1:18" s="7" customFormat="1" ht="12.75" customHeight="1" x14ac:dyDescent="0.2">
      <c r="A61" s="86" t="s">
        <v>78</v>
      </c>
      <c r="B61" s="111"/>
      <c r="C61" s="111"/>
      <c r="E61" s="112">
        <v>5</v>
      </c>
      <c r="F61" s="113" t="s">
        <v>12</v>
      </c>
      <c r="G61" s="112" t="s">
        <v>79</v>
      </c>
      <c r="H61" s="112" t="s">
        <v>10</v>
      </c>
      <c r="J61" s="7">
        <v>139604.82</v>
      </c>
      <c r="L61" s="7">
        <v>98342.37</v>
      </c>
      <c r="N61" s="7">
        <f t="shared" si="1"/>
        <v>29995657.629999999</v>
      </c>
      <c r="P61" s="7">
        <v>30094000</v>
      </c>
      <c r="R61" s="7">
        <v>27550000</v>
      </c>
    </row>
    <row r="62" spans="1:18" s="7" customFormat="1" ht="12.75" customHeight="1" x14ac:dyDescent="0.2">
      <c r="A62" s="86" t="s">
        <v>80</v>
      </c>
      <c r="B62" s="111"/>
      <c r="C62" s="111"/>
      <c r="E62" s="112">
        <v>5</v>
      </c>
      <c r="F62" s="113" t="s">
        <v>12</v>
      </c>
      <c r="G62" s="112" t="s">
        <v>79</v>
      </c>
      <c r="H62" s="112" t="s">
        <v>15</v>
      </c>
      <c r="J62" s="7">
        <v>13015620</v>
      </c>
      <c r="L62" s="7">
        <v>42638800</v>
      </c>
      <c r="N62" s="7">
        <f t="shared" si="1"/>
        <v>250361200</v>
      </c>
      <c r="P62" s="7">
        <v>293000000</v>
      </c>
      <c r="R62" s="7">
        <v>331231000</v>
      </c>
    </row>
    <row r="63" spans="1:18" s="7" customFormat="1" ht="12.75" customHeight="1" x14ac:dyDescent="0.2">
      <c r="A63" s="86" t="s">
        <v>83</v>
      </c>
      <c r="B63" s="111"/>
      <c r="C63" s="111"/>
      <c r="E63" s="112">
        <v>5</v>
      </c>
      <c r="F63" s="113" t="s">
        <v>12</v>
      </c>
      <c r="G63" s="112" t="s">
        <v>84</v>
      </c>
      <c r="H63" s="113" t="s">
        <v>8</v>
      </c>
      <c r="J63" s="7">
        <v>76000000</v>
      </c>
      <c r="L63" s="7">
        <v>41500000</v>
      </c>
      <c r="N63" s="7">
        <f t="shared" si="1"/>
        <v>35500000</v>
      </c>
      <c r="P63" s="7">
        <v>77000000</v>
      </c>
      <c r="R63" s="7">
        <v>80000000</v>
      </c>
    </row>
    <row r="64" spans="1:18" s="7" customFormat="1" ht="12.75" customHeight="1" x14ac:dyDescent="0.2">
      <c r="A64" s="86" t="s">
        <v>86</v>
      </c>
      <c r="B64" s="111"/>
      <c r="C64" s="111"/>
      <c r="E64" s="112">
        <v>5</v>
      </c>
      <c r="F64" s="113" t="s">
        <v>12</v>
      </c>
      <c r="G64" s="112" t="s">
        <v>84</v>
      </c>
      <c r="H64" s="113" t="s">
        <v>15</v>
      </c>
      <c r="J64" s="7">
        <v>5428231.54</v>
      </c>
      <c r="L64" s="7">
        <v>2642525.71</v>
      </c>
      <c r="N64" s="7">
        <f t="shared" si="1"/>
        <v>3395986.8899999997</v>
      </c>
      <c r="P64" s="7">
        <v>6038512.5999999996</v>
      </c>
      <c r="R64" s="7">
        <v>7210690</v>
      </c>
    </row>
    <row r="65" spans="1:18" s="7" customFormat="1" ht="12.75" customHeight="1" x14ac:dyDescent="0.2">
      <c r="A65" s="86" t="s">
        <v>156</v>
      </c>
      <c r="B65" s="111"/>
      <c r="C65" s="111"/>
      <c r="E65" s="112">
        <v>5</v>
      </c>
      <c r="F65" s="113" t="s">
        <v>12</v>
      </c>
      <c r="G65" s="114" t="s">
        <v>59</v>
      </c>
      <c r="H65" s="128" t="s">
        <v>17</v>
      </c>
      <c r="R65" s="7">
        <v>300000</v>
      </c>
    </row>
    <row r="66" spans="1:18" s="7" customFormat="1" ht="12.75" customHeight="1" x14ac:dyDescent="0.2">
      <c r="A66" s="86" t="s">
        <v>58</v>
      </c>
      <c r="B66" s="111"/>
      <c r="C66" s="111"/>
      <c r="E66" s="112">
        <v>5</v>
      </c>
      <c r="F66" s="113" t="s">
        <v>12</v>
      </c>
      <c r="G66" s="114" t="s">
        <v>59</v>
      </c>
      <c r="H66" s="128" t="s">
        <v>60</v>
      </c>
      <c r="R66" s="7">
        <v>1000000</v>
      </c>
    </row>
    <row r="67" spans="1:18" s="7" customFormat="1" ht="12.75" customHeight="1" x14ac:dyDescent="0.2">
      <c r="A67" s="86" t="s">
        <v>81</v>
      </c>
      <c r="B67" s="111"/>
      <c r="C67" s="111"/>
      <c r="E67" s="112">
        <v>5</v>
      </c>
      <c r="F67" s="113" t="s">
        <v>12</v>
      </c>
      <c r="G67" s="112" t="s">
        <v>59</v>
      </c>
      <c r="H67" s="113" t="s">
        <v>82</v>
      </c>
      <c r="J67" s="7">
        <v>7203886</v>
      </c>
      <c r="L67" s="7">
        <v>35860360.700000003</v>
      </c>
      <c r="N67" s="7">
        <f t="shared" ref="N67" si="2">P67-L67</f>
        <v>121299639.3</v>
      </c>
      <c r="P67" s="7">
        <v>157160000</v>
      </c>
      <c r="R67" s="7">
        <v>2660000</v>
      </c>
    </row>
    <row r="68" spans="1:18" s="7" customFormat="1" ht="12.75" customHeight="1" x14ac:dyDescent="0.2">
      <c r="A68" s="86" t="s">
        <v>260</v>
      </c>
      <c r="B68" s="111"/>
      <c r="C68" s="111"/>
      <c r="E68" s="112">
        <v>5</v>
      </c>
      <c r="F68" s="113" t="s">
        <v>12</v>
      </c>
      <c r="G68" s="134">
        <v>99</v>
      </c>
      <c r="H68" s="135">
        <v>990</v>
      </c>
      <c r="J68" s="7">
        <v>107306501.88</v>
      </c>
      <c r="L68" s="7">
        <v>47350740.390000001</v>
      </c>
      <c r="N68" s="7">
        <f t="shared" si="1"/>
        <v>260073341.21000004</v>
      </c>
      <c r="P68" s="7">
        <v>307424081.60000002</v>
      </c>
      <c r="R68" s="7">
        <v>29480450</v>
      </c>
    </row>
    <row r="69" spans="1:18" s="7" customFormat="1" ht="18.95" customHeight="1" x14ac:dyDescent="0.2">
      <c r="A69" s="314" t="s">
        <v>191</v>
      </c>
      <c r="B69" s="314"/>
      <c r="C69" s="314"/>
      <c r="J69" s="22">
        <f>SUM(J37:J68)</f>
        <v>270680273.05999994</v>
      </c>
      <c r="K69" s="18"/>
      <c r="L69" s="22">
        <f>SUM(L37:L68)</f>
        <v>173817364.95999998</v>
      </c>
      <c r="N69" s="22">
        <f>SUM(N37:N68)</f>
        <v>805511585.24000001</v>
      </c>
      <c r="P69" s="22">
        <f>SUM(P37:P68)</f>
        <v>979328950.20000005</v>
      </c>
      <c r="R69" s="22">
        <f>SUM(R37:R68)</f>
        <v>530412480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customHeight="1" x14ac:dyDescent="0.2">
      <c r="A72" s="86" t="s">
        <v>92</v>
      </c>
      <c r="B72" s="111"/>
      <c r="C72" s="111"/>
      <c r="E72" s="112">
        <v>1</v>
      </c>
      <c r="F72" s="113" t="s">
        <v>93</v>
      </c>
      <c r="G72" s="112" t="s">
        <v>7</v>
      </c>
      <c r="H72" s="112" t="s">
        <v>8</v>
      </c>
      <c r="N72" s="7">
        <f t="shared" ref="N72:N82" si="3">P72-L72</f>
        <v>100000000</v>
      </c>
      <c r="P72" s="7">
        <v>100000000</v>
      </c>
    </row>
    <row r="73" spans="1:18" s="7" customFormat="1" ht="12.75" hidden="1" customHeight="1" x14ac:dyDescent="0.2">
      <c r="A73" s="86" t="s">
        <v>94</v>
      </c>
      <c r="B73" s="111"/>
      <c r="C73" s="111"/>
      <c r="E73" s="112">
        <v>1</v>
      </c>
      <c r="F73" s="113" t="s">
        <v>93</v>
      </c>
      <c r="G73" s="112" t="s">
        <v>34</v>
      </c>
      <c r="H73" s="112" t="s">
        <v>8</v>
      </c>
      <c r="N73" s="7">
        <f t="shared" si="3"/>
        <v>0</v>
      </c>
    </row>
    <row r="74" spans="1:18" s="7" customFormat="1" ht="12.75" customHeight="1" x14ac:dyDescent="0.2">
      <c r="A74" s="86" t="s">
        <v>96</v>
      </c>
      <c r="B74" s="111"/>
      <c r="C74" s="111"/>
      <c r="E74" s="112">
        <v>1</v>
      </c>
      <c r="F74" s="113" t="s">
        <v>93</v>
      </c>
      <c r="G74" s="112" t="s">
        <v>54</v>
      </c>
      <c r="H74" s="114" t="s">
        <v>10</v>
      </c>
      <c r="J74" s="7">
        <v>3912244</v>
      </c>
      <c r="N74" s="7">
        <f t="shared" si="3"/>
        <v>1500000</v>
      </c>
      <c r="P74" s="7">
        <v>1500000</v>
      </c>
    </row>
    <row r="75" spans="1:18" s="7" customFormat="1" ht="12.75" customHeight="1" x14ac:dyDescent="0.2">
      <c r="A75" s="86" t="s">
        <v>98</v>
      </c>
      <c r="B75" s="116"/>
      <c r="C75" s="116"/>
      <c r="E75" s="112">
        <v>1</v>
      </c>
      <c r="F75" s="113" t="s">
        <v>93</v>
      </c>
      <c r="G75" s="112" t="s">
        <v>54</v>
      </c>
      <c r="H75" s="112" t="s">
        <v>15</v>
      </c>
      <c r="L75" s="7">
        <v>113860</v>
      </c>
      <c r="N75" s="7">
        <f t="shared" si="3"/>
        <v>15886140</v>
      </c>
      <c r="P75" s="7">
        <v>16000000</v>
      </c>
      <c r="R75" s="7">
        <v>6300000</v>
      </c>
    </row>
    <row r="76" spans="1:18" s="7" customFormat="1" ht="12.75" customHeight="1" x14ac:dyDescent="0.2">
      <c r="A76" s="86" t="s">
        <v>100</v>
      </c>
      <c r="B76" s="111"/>
      <c r="C76" s="111"/>
      <c r="E76" s="112">
        <v>1</v>
      </c>
      <c r="F76" s="113" t="s">
        <v>93</v>
      </c>
      <c r="G76" s="112" t="s">
        <v>54</v>
      </c>
      <c r="H76" s="112" t="s">
        <v>19</v>
      </c>
      <c r="J76" s="7">
        <v>38000</v>
      </c>
      <c r="N76" s="7">
        <f t="shared" si="3"/>
        <v>2261500</v>
      </c>
      <c r="P76" s="7">
        <v>2261500</v>
      </c>
    </row>
    <row r="77" spans="1:18" s="7" customFormat="1" ht="12.75" customHeight="1" x14ac:dyDescent="0.2">
      <c r="A77" s="86" t="s">
        <v>101</v>
      </c>
      <c r="B77" s="111"/>
      <c r="C77" s="111"/>
      <c r="E77" s="112">
        <v>1</v>
      </c>
      <c r="F77" s="113" t="s">
        <v>93</v>
      </c>
      <c r="G77" s="112" t="s">
        <v>54</v>
      </c>
      <c r="H77" s="112" t="s">
        <v>102</v>
      </c>
      <c r="J77" s="7">
        <v>3247200</v>
      </c>
      <c r="N77" s="7">
        <f t="shared" si="3"/>
        <v>28630000</v>
      </c>
      <c r="P77" s="7">
        <v>28630000</v>
      </c>
      <c r="R77" s="7">
        <v>3000000</v>
      </c>
    </row>
    <row r="78" spans="1:18" s="7" customFormat="1" ht="12.75" customHeight="1" x14ac:dyDescent="0.2">
      <c r="A78" s="86" t="s">
        <v>105</v>
      </c>
      <c r="B78" s="111"/>
      <c r="C78" s="111"/>
      <c r="D78" s="113"/>
      <c r="E78" s="112">
        <v>1</v>
      </c>
      <c r="F78" s="113" t="s">
        <v>93</v>
      </c>
      <c r="G78" s="112" t="s">
        <v>54</v>
      </c>
      <c r="H78" s="114" t="s">
        <v>49</v>
      </c>
      <c r="N78" s="7">
        <f t="shared" si="3"/>
        <v>1000000</v>
      </c>
      <c r="P78" s="7">
        <v>1000000</v>
      </c>
    </row>
    <row r="79" spans="1:18" s="7" customFormat="1" ht="12.75" customHeight="1" x14ac:dyDescent="0.2">
      <c r="A79" s="86" t="s">
        <v>106</v>
      </c>
      <c r="B79" s="111"/>
      <c r="C79" s="111"/>
      <c r="D79" s="113"/>
      <c r="E79" s="112">
        <v>1</v>
      </c>
      <c r="F79" s="113" t="s">
        <v>93</v>
      </c>
      <c r="G79" s="114" t="s">
        <v>67</v>
      </c>
      <c r="H79" s="114" t="s">
        <v>8</v>
      </c>
      <c r="J79" s="7">
        <v>1625000</v>
      </c>
      <c r="N79" s="7">
        <f t="shared" si="3"/>
        <v>17350000</v>
      </c>
      <c r="P79" s="7">
        <v>17350000</v>
      </c>
      <c r="R79" s="7">
        <v>16500000</v>
      </c>
    </row>
    <row r="80" spans="1:18" s="7" customFormat="1" ht="12.75" customHeight="1" x14ac:dyDescent="0.2">
      <c r="A80" s="86" t="s">
        <v>283</v>
      </c>
      <c r="B80" s="111"/>
      <c r="C80" s="111"/>
      <c r="D80" s="113"/>
      <c r="E80" s="112">
        <v>1</v>
      </c>
      <c r="F80" s="113" t="s">
        <v>93</v>
      </c>
      <c r="G80" s="114" t="s">
        <v>93</v>
      </c>
      <c r="H80" s="114" t="s">
        <v>8</v>
      </c>
      <c r="N80" s="7">
        <f t="shared" si="3"/>
        <v>2900000</v>
      </c>
      <c r="P80" s="7">
        <v>2900000</v>
      </c>
      <c r="R80" s="7">
        <v>1000000</v>
      </c>
    </row>
    <row r="81" spans="1:18" s="7" customFormat="1" ht="12.75" customHeight="1" x14ac:dyDescent="0.2">
      <c r="A81" s="86" t="s">
        <v>107</v>
      </c>
      <c r="B81" s="111"/>
      <c r="C81" s="111"/>
      <c r="D81" s="113"/>
      <c r="E81" s="112">
        <v>1</v>
      </c>
      <c r="F81" s="113" t="s">
        <v>93</v>
      </c>
      <c r="G81" s="112" t="s">
        <v>59</v>
      </c>
      <c r="H81" s="114" t="s">
        <v>49</v>
      </c>
      <c r="J81" s="7">
        <v>98446</v>
      </c>
      <c r="N81" s="7">
        <f t="shared" si="3"/>
        <v>17000000</v>
      </c>
      <c r="P81" s="7">
        <v>17000000</v>
      </c>
    </row>
    <row r="82" spans="1:18" s="7" customFormat="1" ht="12.75" customHeight="1" x14ac:dyDescent="0.2">
      <c r="A82" s="86" t="s">
        <v>271</v>
      </c>
      <c r="B82" s="111"/>
      <c r="C82" s="111"/>
      <c r="D82" s="113"/>
      <c r="E82" s="112">
        <v>1</v>
      </c>
      <c r="F82" s="128" t="s">
        <v>272</v>
      </c>
      <c r="G82" s="114" t="s">
        <v>7</v>
      </c>
      <c r="H82" s="114" t="s">
        <v>10</v>
      </c>
      <c r="N82" s="7">
        <f t="shared" si="3"/>
        <v>35000000</v>
      </c>
      <c r="P82" s="7">
        <v>35000000</v>
      </c>
    </row>
    <row r="83" spans="1:18" s="27" customFormat="1" ht="18.95" customHeight="1" x14ac:dyDescent="0.2">
      <c r="A83" s="102" t="s">
        <v>108</v>
      </c>
      <c r="B83" s="26"/>
      <c r="C83" s="26"/>
      <c r="J83" s="21">
        <f>SUM(J72:J81)</f>
        <v>8920890</v>
      </c>
      <c r="K83" s="23"/>
      <c r="L83" s="21">
        <f>SUM(L72:L78)</f>
        <v>113860</v>
      </c>
      <c r="N83" s="21">
        <f>SUM(N72:N82)</f>
        <v>221527640</v>
      </c>
      <c r="P83" s="21">
        <f>SUM(P72:P82)</f>
        <v>221641500</v>
      </c>
      <c r="R83" s="21">
        <f>SUM(R72:R82)</f>
        <v>26800000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452203458.49999994</v>
      </c>
      <c r="K85" s="23"/>
      <c r="L85" s="29">
        <f>L34+L69+L83</f>
        <v>256138310.87999997</v>
      </c>
      <c r="N85" s="29">
        <f>N34+N69+N83</f>
        <v>1231549821.3400002</v>
      </c>
      <c r="P85" s="29">
        <f>P34+P69+P83</f>
        <v>1487688132.22</v>
      </c>
      <c r="R85" s="29">
        <f>R34+R69+R83</f>
        <v>792619817.79999995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54" t="s">
        <v>276</v>
      </c>
      <c r="D88" s="33"/>
      <c r="E88" s="32"/>
      <c r="G88" s="31"/>
      <c r="I88" s="31"/>
      <c r="M88" s="47"/>
      <c r="N88" s="311" t="s">
        <v>135</v>
      </c>
      <c r="O88" s="311"/>
      <c r="P88" s="311"/>
    </row>
    <row r="89" spans="1:18" ht="9.9499999999999993" customHeight="1" x14ac:dyDescent="0.2">
      <c r="A89" s="46"/>
      <c r="C89" s="154"/>
      <c r="D89" s="33"/>
      <c r="E89" s="32"/>
      <c r="G89" s="31"/>
      <c r="I89" s="31"/>
      <c r="M89" s="47"/>
      <c r="N89" s="151"/>
      <c r="O89" s="151"/>
      <c r="P89" s="151"/>
    </row>
    <row r="90" spans="1:18" x14ac:dyDescent="0.2">
      <c r="A90" s="50"/>
      <c r="C90" s="154"/>
      <c r="D90" s="33"/>
      <c r="E90" s="51"/>
      <c r="G90" s="31"/>
      <c r="I90" s="31"/>
      <c r="M90" s="154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55" t="s">
        <v>291</v>
      </c>
      <c r="D92" s="55"/>
      <c r="E92" s="56"/>
      <c r="G92" s="31"/>
      <c r="I92" s="31"/>
      <c r="M92" s="57"/>
      <c r="N92" s="312" t="s">
        <v>137</v>
      </c>
      <c r="O92" s="312"/>
      <c r="P92" s="312"/>
    </row>
    <row r="93" spans="1:18" x14ac:dyDescent="0.2">
      <c r="A93" s="52"/>
      <c r="C93" s="154" t="s">
        <v>269</v>
      </c>
      <c r="D93" s="31"/>
      <c r="E93" s="32"/>
      <c r="G93" s="31"/>
      <c r="I93" s="31"/>
      <c r="M93" s="33"/>
      <c r="N93" s="313" t="s">
        <v>139</v>
      </c>
      <c r="O93" s="313"/>
      <c r="P93" s="313"/>
    </row>
  </sheetData>
  <customSheetViews>
    <customSheetView guid="{1998FCB8-1FEB-4076-ACE6-A225EE4366B3}" hiddenRows="1">
      <pane xSplit="1" ySplit="14" topLeftCell="B72" activePane="bottomRight" state="frozen"/>
      <selection pane="bottomRight" activeCell="C6" sqref="C6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</oddHeader>
        <oddFooter>&amp;C&amp;10Page &amp;P of &amp;N</oddFooter>
      </headerFooter>
    </customSheetView>
    <customSheetView guid="{DE3A1FFE-44A0-41BD-98AB-2A2226968564}" printArea="1" hiddenRows="1">
      <pane xSplit="1" ySplit="14" topLeftCell="B15" activePane="bottomRight" state="frozen"/>
      <selection pane="bottomRight" activeCell="K11" sqref="J11:K11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</oddHeader>
        <oddFooter>&amp;C&amp;10Page &amp;P of &amp;N</oddFooter>
      </headerFooter>
    </customSheetView>
    <customSheetView guid="{EE975321-C15E-44A7-AFC6-A307116A4F6E}" printArea="1" hiddenRows="1">
      <pane xSplit="1" ySplit="14" topLeftCell="B72" activePane="bottomRight" state="frozen"/>
      <selection pane="bottomRight" activeCell="R80" sqref="R80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</oddHeader>
    <oddFooter>&amp;C&amp;10Page &amp;P of &amp;N</oddFooter>
  </headerFooter>
  <rowBreaks count="2" manualBreakCount="2">
    <brk id="39" max="18" man="1"/>
    <brk id="64" max="1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53"/>
  <sheetViews>
    <sheetView view="pageBreakPreview" zoomScaleNormal="85" zoomScaleSheetLayoutView="10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R46" sqref="R4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8"/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1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18"/>
      <c r="B12" s="118"/>
      <c r="C12" s="118"/>
      <c r="D12" s="9"/>
      <c r="E12" s="118"/>
      <c r="F12" s="118"/>
      <c r="G12" s="118"/>
      <c r="H12" s="118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8" customHeight="1" x14ac:dyDescent="0.2">
      <c r="A15" s="160" t="s">
        <v>239</v>
      </c>
      <c r="B15" s="159"/>
      <c r="C15" s="159"/>
      <c r="D15" s="146"/>
      <c r="E15" s="328" t="s">
        <v>240</v>
      </c>
      <c r="F15" s="328"/>
      <c r="G15" s="328"/>
      <c r="H15" s="328"/>
    </row>
    <row r="16" spans="1:19" s="7" customFormat="1" ht="18" customHeight="1" x14ac:dyDescent="0.2">
      <c r="A16" s="68" t="s">
        <v>190</v>
      </c>
      <c r="B16" s="25"/>
      <c r="C16" s="25"/>
      <c r="E16" s="122"/>
      <c r="F16" s="122"/>
      <c r="G16" s="122"/>
      <c r="H16" s="122"/>
    </row>
    <row r="17" spans="1:18" s="7" customFormat="1" ht="12.75" hidden="1" customHeight="1" x14ac:dyDescent="0.2">
      <c r="A17" s="86" t="s">
        <v>264</v>
      </c>
      <c r="B17" s="111"/>
      <c r="C17" s="111"/>
      <c r="E17" s="112">
        <v>1</v>
      </c>
      <c r="F17" s="113" t="s">
        <v>93</v>
      </c>
      <c r="G17" s="112" t="s">
        <v>12</v>
      </c>
      <c r="H17" s="114" t="s">
        <v>49</v>
      </c>
      <c r="N17" s="7">
        <f>P17-L17</f>
        <v>0</v>
      </c>
    </row>
    <row r="18" spans="1:18" s="7" customFormat="1" ht="15" customHeight="1" x14ac:dyDescent="0.2">
      <c r="A18" s="157" t="s">
        <v>178</v>
      </c>
      <c r="B18" s="116"/>
      <c r="C18" s="116"/>
      <c r="D18" s="113"/>
      <c r="E18" s="32">
        <v>1</v>
      </c>
      <c r="F18" s="143" t="s">
        <v>93</v>
      </c>
      <c r="G18" s="32" t="s">
        <v>29</v>
      </c>
      <c r="H18" s="32" t="s">
        <v>8</v>
      </c>
      <c r="L18" s="36"/>
      <c r="M18" s="36"/>
      <c r="N18" s="36"/>
      <c r="O18" s="36"/>
      <c r="P18" s="36"/>
      <c r="R18" s="7">
        <v>255039033</v>
      </c>
    </row>
    <row r="19" spans="1:18" s="7" customFormat="1" ht="15" customHeight="1" x14ac:dyDescent="0.2">
      <c r="A19" s="33" t="s">
        <v>241</v>
      </c>
      <c r="B19" s="111"/>
      <c r="C19" s="111"/>
      <c r="E19" s="32">
        <v>1</v>
      </c>
      <c r="F19" s="143" t="s">
        <v>93</v>
      </c>
      <c r="G19" s="32" t="s">
        <v>29</v>
      </c>
      <c r="H19" s="32" t="s">
        <v>10</v>
      </c>
      <c r="J19" s="7">
        <v>22560185.300000001</v>
      </c>
      <c r="L19" s="36"/>
      <c r="M19" s="36"/>
      <c r="N19" s="36">
        <f t="shared" ref="N19:N24" si="0">P19-L19</f>
        <v>0</v>
      </c>
      <c r="O19" s="36"/>
      <c r="P19" s="36"/>
      <c r="R19" s="7">
        <v>30000000</v>
      </c>
    </row>
    <row r="20" spans="1:18" s="7" customFormat="1" ht="12.75" hidden="1" customHeight="1" x14ac:dyDescent="0.2">
      <c r="A20" s="33" t="s">
        <v>238</v>
      </c>
      <c r="B20" s="116"/>
      <c r="C20" s="116"/>
      <c r="D20" s="113"/>
      <c r="E20" s="32">
        <v>1</v>
      </c>
      <c r="F20" s="143" t="s">
        <v>93</v>
      </c>
      <c r="G20" s="32" t="s">
        <v>29</v>
      </c>
      <c r="H20" s="140" t="s">
        <v>49</v>
      </c>
      <c r="L20" s="36"/>
      <c r="M20" s="36"/>
      <c r="N20" s="36"/>
      <c r="O20" s="36"/>
      <c r="P20" s="36"/>
    </row>
    <row r="21" spans="1:18" s="7" customFormat="1" ht="12.75" customHeight="1" x14ac:dyDescent="0.2">
      <c r="A21" s="33" t="s">
        <v>264</v>
      </c>
      <c r="B21" s="116"/>
      <c r="C21" s="116"/>
      <c r="D21" s="113"/>
      <c r="E21" s="32">
        <v>1</v>
      </c>
      <c r="F21" s="143" t="s">
        <v>93</v>
      </c>
      <c r="G21" s="32" t="s">
        <v>34</v>
      </c>
      <c r="H21" s="140" t="s">
        <v>8</v>
      </c>
      <c r="J21" s="7">
        <v>0</v>
      </c>
      <c r="L21" s="36"/>
      <c r="M21" s="36"/>
      <c r="N21" s="36"/>
      <c r="O21" s="36"/>
      <c r="P21" s="36"/>
      <c r="R21" s="7">
        <v>1200000</v>
      </c>
    </row>
    <row r="22" spans="1:18" s="7" customFormat="1" ht="15" customHeight="1" x14ac:dyDescent="0.2">
      <c r="A22" s="33" t="s">
        <v>94</v>
      </c>
      <c r="B22" s="111"/>
      <c r="C22" s="111"/>
      <c r="E22" s="32">
        <v>1</v>
      </c>
      <c r="F22" s="143" t="s">
        <v>93</v>
      </c>
      <c r="G22" s="32" t="s">
        <v>34</v>
      </c>
      <c r="H22" s="140" t="s">
        <v>8</v>
      </c>
      <c r="J22" s="7">
        <v>0</v>
      </c>
      <c r="L22" s="36"/>
      <c r="M22" s="36"/>
      <c r="N22" s="36">
        <f>P22-L22</f>
        <v>325675000</v>
      </c>
      <c r="O22" s="36"/>
      <c r="P22" s="36">
        <v>325675000</v>
      </c>
    </row>
    <row r="23" spans="1:18" s="7" customFormat="1" ht="12.75" hidden="1" customHeight="1" x14ac:dyDescent="0.2">
      <c r="A23" s="157" t="s">
        <v>242</v>
      </c>
      <c r="B23" s="111"/>
      <c r="C23" s="111"/>
      <c r="E23" s="32">
        <v>1</v>
      </c>
      <c r="F23" s="143" t="s">
        <v>93</v>
      </c>
      <c r="G23" s="32" t="s">
        <v>29</v>
      </c>
      <c r="H23" s="32" t="s">
        <v>64</v>
      </c>
      <c r="L23" s="36"/>
      <c r="M23" s="36"/>
      <c r="N23" s="36">
        <f t="shared" si="0"/>
        <v>0</v>
      </c>
      <c r="O23" s="36"/>
      <c r="P23" s="36"/>
    </row>
    <row r="24" spans="1:18" s="7" customFormat="1" ht="15" customHeight="1" x14ac:dyDescent="0.2">
      <c r="A24" s="33" t="s">
        <v>95</v>
      </c>
      <c r="B24" s="116"/>
      <c r="C24" s="116"/>
      <c r="E24" s="32">
        <v>1</v>
      </c>
      <c r="F24" s="143" t="s">
        <v>93</v>
      </c>
      <c r="G24" s="32" t="s">
        <v>34</v>
      </c>
      <c r="H24" s="32" t="s">
        <v>49</v>
      </c>
      <c r="J24" s="7">
        <v>2002114.21</v>
      </c>
      <c r="L24" s="36"/>
      <c r="M24" s="36"/>
      <c r="N24" s="36">
        <f t="shared" si="0"/>
        <v>202821268.87</v>
      </c>
      <c r="O24" s="36"/>
      <c r="P24" s="36">
        <v>202821268.87</v>
      </c>
      <c r="R24" s="7">
        <v>500000000</v>
      </c>
    </row>
    <row r="25" spans="1:18" s="7" customFormat="1" ht="12.75" hidden="1" customHeight="1" x14ac:dyDescent="0.2">
      <c r="A25" s="115" t="s">
        <v>237</v>
      </c>
      <c r="B25" s="111"/>
      <c r="C25" s="111"/>
      <c r="E25" s="112">
        <v>1</v>
      </c>
      <c r="F25" s="113" t="s">
        <v>93</v>
      </c>
      <c r="G25" s="112" t="s">
        <v>29</v>
      </c>
      <c r="H25" s="112" t="s">
        <v>17</v>
      </c>
      <c r="L25" s="36"/>
      <c r="M25" s="36"/>
      <c r="N25" s="36">
        <f t="shared" ref="N25:N26" si="1">P25-L25</f>
        <v>0</v>
      </c>
      <c r="O25" s="36"/>
      <c r="P25" s="36"/>
    </row>
    <row r="26" spans="1:18" s="7" customFormat="1" ht="12.75" hidden="1" customHeight="1" x14ac:dyDescent="0.2">
      <c r="A26" s="115" t="s">
        <v>241</v>
      </c>
      <c r="B26" s="111"/>
      <c r="C26" s="111"/>
      <c r="E26" s="112">
        <v>1</v>
      </c>
      <c r="F26" s="113" t="s">
        <v>93</v>
      </c>
      <c r="G26" s="112" t="s">
        <v>29</v>
      </c>
      <c r="H26" s="112" t="s">
        <v>10</v>
      </c>
      <c r="L26" s="36"/>
      <c r="M26" s="36"/>
      <c r="N26" s="36">
        <f t="shared" si="1"/>
        <v>0</v>
      </c>
      <c r="O26" s="36"/>
      <c r="P26" s="36"/>
    </row>
    <row r="27" spans="1:18" s="7" customFormat="1" ht="12.75" customHeight="1" x14ac:dyDescent="0.2">
      <c r="A27" s="115"/>
      <c r="B27" s="111"/>
      <c r="C27" s="111"/>
      <c r="E27" s="112"/>
      <c r="F27" s="113"/>
      <c r="G27" s="112"/>
      <c r="H27" s="112"/>
      <c r="L27" s="36"/>
      <c r="M27" s="36"/>
      <c r="N27" s="36"/>
      <c r="O27" s="36"/>
      <c r="P27" s="36"/>
    </row>
    <row r="28" spans="1:18" s="7" customFormat="1" ht="18" customHeight="1" x14ac:dyDescent="0.2">
      <c r="A28" s="127" t="s">
        <v>243</v>
      </c>
      <c r="B28" s="111"/>
      <c r="C28" s="111"/>
      <c r="E28" s="328" t="s">
        <v>244</v>
      </c>
      <c r="F28" s="328"/>
      <c r="G28" s="328"/>
      <c r="H28" s="328"/>
      <c r="L28" s="36"/>
      <c r="M28" s="36"/>
      <c r="N28" s="36"/>
      <c r="O28" s="36"/>
      <c r="P28" s="36"/>
    </row>
    <row r="29" spans="1:18" s="7" customFormat="1" ht="18" customHeight="1" x14ac:dyDescent="0.2">
      <c r="A29" s="126" t="s">
        <v>188</v>
      </c>
      <c r="B29" s="111"/>
      <c r="C29" s="111"/>
      <c r="E29" s="112"/>
      <c r="F29" s="113"/>
      <c r="G29" s="112"/>
      <c r="H29" s="112"/>
      <c r="L29" s="36"/>
      <c r="M29" s="36"/>
      <c r="N29" s="36"/>
      <c r="O29" s="36"/>
      <c r="P29" s="36"/>
    </row>
    <row r="30" spans="1:18" s="7" customFormat="1" ht="15" customHeight="1" x14ac:dyDescent="0.2">
      <c r="A30" s="33" t="s">
        <v>306</v>
      </c>
      <c r="B30" s="111"/>
      <c r="C30" s="111"/>
      <c r="E30" s="158" t="s">
        <v>307</v>
      </c>
      <c r="F30" s="138" t="s">
        <v>12</v>
      </c>
      <c r="G30" s="140" t="s">
        <v>74</v>
      </c>
      <c r="H30" s="140" t="s">
        <v>15</v>
      </c>
      <c r="L30" s="36"/>
      <c r="M30" s="36"/>
      <c r="N30" s="36">
        <f t="shared" ref="N30:N31" si="2">P30-L30</f>
        <v>169400000</v>
      </c>
      <c r="O30" s="36"/>
      <c r="P30" s="36">
        <v>169400000</v>
      </c>
      <c r="R30" s="7">
        <v>101000000</v>
      </c>
    </row>
    <row r="31" spans="1:18" s="7" customFormat="1" ht="15" customHeight="1" x14ac:dyDescent="0.2">
      <c r="A31" s="33" t="s">
        <v>304</v>
      </c>
      <c r="B31" s="111"/>
      <c r="C31" s="111"/>
      <c r="E31" s="158" t="s">
        <v>307</v>
      </c>
      <c r="F31" s="138" t="s">
        <v>12</v>
      </c>
      <c r="G31" s="140" t="s">
        <v>74</v>
      </c>
      <c r="H31" s="140" t="s">
        <v>17</v>
      </c>
      <c r="L31" s="36"/>
      <c r="M31" s="36"/>
      <c r="N31" s="36">
        <f t="shared" si="2"/>
        <v>0</v>
      </c>
      <c r="O31" s="36"/>
      <c r="P31" s="36"/>
    </row>
    <row r="32" spans="1:18" s="7" customFormat="1" ht="12.75" customHeight="1" x14ac:dyDescent="0.2">
      <c r="A32" s="86"/>
      <c r="B32" s="111"/>
      <c r="C32" s="111"/>
      <c r="E32" s="112"/>
      <c r="F32" s="113"/>
      <c r="G32" s="112"/>
      <c r="H32" s="112"/>
      <c r="L32" s="36"/>
      <c r="M32" s="36"/>
      <c r="N32" s="36"/>
      <c r="O32" s="36"/>
      <c r="P32" s="36"/>
    </row>
    <row r="33" spans="1:18" s="7" customFormat="1" ht="18" customHeight="1" x14ac:dyDescent="0.2">
      <c r="A33" s="125" t="s">
        <v>305</v>
      </c>
      <c r="B33" s="111"/>
      <c r="C33" s="111"/>
      <c r="E33" s="112"/>
      <c r="F33" s="113"/>
      <c r="G33" s="112"/>
      <c r="H33" s="112"/>
      <c r="L33" s="36"/>
      <c r="M33" s="36"/>
      <c r="N33" s="36"/>
      <c r="O33" s="36"/>
      <c r="P33" s="36"/>
    </row>
    <row r="34" spans="1:18" s="7" customFormat="1" ht="15" customHeight="1" x14ac:dyDescent="0.2">
      <c r="A34" s="86" t="s">
        <v>264</v>
      </c>
      <c r="B34" s="111"/>
      <c r="C34" s="111"/>
      <c r="E34" s="32">
        <v>1</v>
      </c>
      <c r="F34" s="143" t="s">
        <v>93</v>
      </c>
      <c r="G34" s="32" t="s">
        <v>12</v>
      </c>
      <c r="H34" s="140" t="s">
        <v>49</v>
      </c>
      <c r="L34" s="36"/>
      <c r="M34" s="36"/>
      <c r="N34" s="36"/>
      <c r="O34" s="36"/>
      <c r="P34" s="36"/>
    </row>
    <row r="35" spans="1:18" s="7" customFormat="1" ht="15" customHeight="1" x14ac:dyDescent="0.2">
      <c r="A35" s="115" t="s">
        <v>178</v>
      </c>
      <c r="B35" s="111"/>
      <c r="C35" s="111"/>
      <c r="E35" s="32">
        <v>1</v>
      </c>
      <c r="F35" s="143" t="s">
        <v>93</v>
      </c>
      <c r="G35" s="32" t="s">
        <v>29</v>
      </c>
      <c r="H35" s="32" t="s">
        <v>8</v>
      </c>
      <c r="J35" s="7">
        <v>0</v>
      </c>
      <c r="L35" s="36"/>
      <c r="M35" s="36"/>
      <c r="N35" s="36">
        <f t="shared" ref="N35:N39" si="3">P35-L35</f>
        <v>0</v>
      </c>
      <c r="O35" s="36"/>
      <c r="P35" s="36"/>
    </row>
    <row r="36" spans="1:18" s="7" customFormat="1" ht="12.75" hidden="1" customHeight="1" x14ac:dyDescent="0.2">
      <c r="A36" s="86" t="s">
        <v>235</v>
      </c>
      <c r="B36" s="111"/>
      <c r="C36" s="111"/>
      <c r="E36" s="32">
        <v>1</v>
      </c>
      <c r="F36" s="143" t="s">
        <v>93</v>
      </c>
      <c r="G36" s="32" t="s">
        <v>29</v>
      </c>
      <c r="H36" s="32" t="s">
        <v>45</v>
      </c>
      <c r="L36" s="36"/>
      <c r="M36" s="36"/>
      <c r="N36" s="36">
        <f t="shared" si="3"/>
        <v>0</v>
      </c>
      <c r="O36" s="36"/>
      <c r="P36" s="36"/>
    </row>
    <row r="37" spans="1:18" s="7" customFormat="1" ht="12.75" hidden="1" customHeight="1" x14ac:dyDescent="0.2">
      <c r="A37" s="86" t="s">
        <v>238</v>
      </c>
      <c r="B37" s="111"/>
      <c r="C37" s="111"/>
      <c r="E37" s="32">
        <v>1</v>
      </c>
      <c r="F37" s="143" t="s">
        <v>93</v>
      </c>
      <c r="G37" s="32" t="s">
        <v>29</v>
      </c>
      <c r="H37" s="140" t="s">
        <v>49</v>
      </c>
      <c r="L37" s="36"/>
      <c r="M37" s="36"/>
      <c r="N37" s="36">
        <f t="shared" si="3"/>
        <v>0</v>
      </c>
      <c r="O37" s="36"/>
      <c r="P37" s="36"/>
    </row>
    <row r="38" spans="1:18" s="7" customFormat="1" ht="15" customHeight="1" x14ac:dyDescent="0.2">
      <c r="A38" s="86" t="s">
        <v>94</v>
      </c>
      <c r="B38" s="111"/>
      <c r="C38" s="111"/>
      <c r="E38" s="32">
        <v>1</v>
      </c>
      <c r="F38" s="143" t="s">
        <v>93</v>
      </c>
      <c r="G38" s="32" t="s">
        <v>34</v>
      </c>
      <c r="H38" s="140" t="s">
        <v>8</v>
      </c>
      <c r="L38" s="36"/>
      <c r="M38" s="36"/>
      <c r="N38" s="36"/>
      <c r="O38" s="36"/>
      <c r="P38" s="36"/>
    </row>
    <row r="39" spans="1:18" s="7" customFormat="1" ht="12.75" hidden="1" customHeight="1" x14ac:dyDescent="0.2">
      <c r="A39" s="86" t="s">
        <v>95</v>
      </c>
      <c r="B39" s="111"/>
      <c r="C39" s="111"/>
      <c r="E39" s="112">
        <v>1</v>
      </c>
      <c r="F39" s="113" t="s">
        <v>93</v>
      </c>
      <c r="G39" s="112" t="s">
        <v>34</v>
      </c>
      <c r="H39" s="112" t="s">
        <v>49</v>
      </c>
      <c r="J39" s="129">
        <v>316141.89</v>
      </c>
      <c r="L39" s="129"/>
      <c r="N39" s="129">
        <f t="shared" si="3"/>
        <v>0</v>
      </c>
      <c r="P39" s="129"/>
      <c r="R39" s="129"/>
    </row>
    <row r="40" spans="1:18" s="7" customFormat="1" ht="12.75" hidden="1" customHeight="1" x14ac:dyDescent="0.2">
      <c r="A40" s="86"/>
      <c r="B40" s="111"/>
      <c r="C40" s="111"/>
      <c r="E40" s="112"/>
      <c r="F40" s="113"/>
      <c r="G40" s="112"/>
      <c r="H40" s="112"/>
    </row>
    <row r="41" spans="1:18" s="7" customFormat="1" ht="12.75" hidden="1" customHeight="1" x14ac:dyDescent="0.2">
      <c r="A41" s="117" t="s">
        <v>245</v>
      </c>
      <c r="B41" s="117"/>
      <c r="C41" s="117"/>
      <c r="E41" s="112"/>
      <c r="F41" s="113"/>
      <c r="G41" s="112"/>
      <c r="H41" s="112"/>
    </row>
    <row r="42" spans="1:18" s="7" customFormat="1" ht="12.75" hidden="1" customHeight="1" x14ac:dyDescent="0.2">
      <c r="A42" s="123" t="s">
        <v>246</v>
      </c>
      <c r="B42" s="117"/>
      <c r="C42" s="117"/>
      <c r="E42" s="329">
        <v>8852</v>
      </c>
      <c r="F42" s="329"/>
      <c r="G42" s="329"/>
      <c r="H42" s="329"/>
    </row>
    <row r="43" spans="1:18" s="7" customFormat="1" ht="12.75" hidden="1" customHeight="1" x14ac:dyDescent="0.2">
      <c r="A43" s="86" t="s">
        <v>235</v>
      </c>
      <c r="B43" s="111"/>
      <c r="C43" s="111"/>
      <c r="D43" s="113"/>
      <c r="E43" s="112">
        <v>1</v>
      </c>
      <c r="F43" s="113" t="s">
        <v>93</v>
      </c>
      <c r="G43" s="112" t="s">
        <v>29</v>
      </c>
      <c r="H43" s="112" t="s">
        <v>45</v>
      </c>
      <c r="N43" s="7">
        <f t="shared" ref="N43:N44" si="4">P43-L43</f>
        <v>0</v>
      </c>
    </row>
    <row r="44" spans="1:18" s="7" customFormat="1" ht="12.75" hidden="1" customHeight="1" x14ac:dyDescent="0.2">
      <c r="A44" s="86" t="s">
        <v>238</v>
      </c>
      <c r="B44" s="111"/>
      <c r="C44" s="111"/>
      <c r="D44" s="113"/>
      <c r="E44" s="112">
        <v>1</v>
      </c>
      <c r="F44" s="113" t="s">
        <v>93</v>
      </c>
      <c r="G44" s="112" t="s">
        <v>29</v>
      </c>
      <c r="H44" s="114" t="s">
        <v>49</v>
      </c>
      <c r="N44" s="7">
        <f t="shared" si="4"/>
        <v>0</v>
      </c>
    </row>
    <row r="45" spans="1:18" s="7" customFormat="1" ht="6.75" customHeight="1" x14ac:dyDescent="0.2"/>
    <row r="46" spans="1:18" s="7" customFormat="1" ht="20.100000000000001" customHeight="1" thickBot="1" x14ac:dyDescent="0.25">
      <c r="A46" s="11" t="s">
        <v>110</v>
      </c>
      <c r="B46" s="28"/>
      <c r="C46" s="28"/>
      <c r="J46" s="156">
        <f>SUM(J17:J39)</f>
        <v>24878441.400000002</v>
      </c>
      <c r="K46" s="23"/>
      <c r="L46" s="156">
        <f>SUM(L17:L39)</f>
        <v>0</v>
      </c>
      <c r="N46" s="156">
        <f>SUM(N17:N39)</f>
        <v>697896268.87</v>
      </c>
      <c r="P46" s="156">
        <f>SUM(P17:P39)</f>
        <v>697896268.87</v>
      </c>
      <c r="R46" s="156">
        <f>SUM(R17:R39)</f>
        <v>887239033</v>
      </c>
    </row>
    <row r="47" spans="1:18" s="7" customFormat="1" ht="13.5" thickTop="1" x14ac:dyDescent="0.2">
      <c r="A47" s="31"/>
      <c r="B47" s="31"/>
      <c r="C47" s="31"/>
      <c r="D47" s="34"/>
      <c r="E47" s="31"/>
      <c r="F47" s="31"/>
      <c r="H47" s="35"/>
      <c r="I47" s="35"/>
      <c r="J47" s="35"/>
      <c r="K47" s="35"/>
      <c r="L47" s="35"/>
      <c r="M47" s="35"/>
    </row>
    <row r="48" spans="1:18" x14ac:dyDescent="0.2">
      <c r="C48" s="120" t="s">
        <v>133</v>
      </c>
      <c r="D48" s="32"/>
      <c r="E48" s="32"/>
      <c r="G48" s="31"/>
      <c r="I48" s="31"/>
      <c r="J48" s="321" t="s">
        <v>276</v>
      </c>
      <c r="K48" s="321"/>
      <c r="L48" s="321"/>
      <c r="M48" s="47"/>
      <c r="N48" s="49"/>
      <c r="O48" s="49"/>
      <c r="P48" s="48" t="s">
        <v>135</v>
      </c>
    </row>
    <row r="49" spans="1:16" x14ac:dyDescent="0.2">
      <c r="A49" s="50"/>
      <c r="D49" s="33"/>
      <c r="E49" s="51"/>
      <c r="G49" s="31"/>
      <c r="I49" s="31"/>
      <c r="J49" s="120"/>
      <c r="M49" s="120"/>
      <c r="N49" s="36"/>
      <c r="O49" s="36"/>
      <c r="P49" s="51"/>
    </row>
    <row r="50" spans="1:16" x14ac:dyDescent="0.2">
      <c r="A50" s="50"/>
      <c r="D50" s="33"/>
      <c r="E50" s="51"/>
      <c r="G50" s="31"/>
      <c r="I50" s="31"/>
      <c r="J50" s="120"/>
      <c r="M50" s="120"/>
      <c r="N50" s="36"/>
      <c r="O50" s="36"/>
      <c r="P50" s="51"/>
    </row>
    <row r="51" spans="1:16" x14ac:dyDescent="0.2">
      <c r="A51" s="52"/>
      <c r="D51" s="31"/>
      <c r="E51" s="53"/>
      <c r="G51" s="31"/>
      <c r="I51" s="31"/>
      <c r="J51" s="31"/>
      <c r="M51" s="31"/>
      <c r="P51" s="53"/>
    </row>
    <row r="52" spans="1:16" x14ac:dyDescent="0.2">
      <c r="B52" s="56"/>
      <c r="C52" s="124" t="s">
        <v>222</v>
      </c>
      <c r="D52" s="56"/>
      <c r="E52" s="56"/>
      <c r="G52" s="31"/>
      <c r="I52" s="31"/>
      <c r="J52" s="322" t="s">
        <v>291</v>
      </c>
      <c r="K52" s="322"/>
      <c r="L52" s="322"/>
      <c r="M52" s="57"/>
      <c r="N52" s="59"/>
      <c r="O52" s="59"/>
      <c r="P52" s="58" t="s">
        <v>137</v>
      </c>
    </row>
    <row r="53" spans="1:16" x14ac:dyDescent="0.2">
      <c r="B53" s="32"/>
      <c r="C53" s="120" t="s">
        <v>282</v>
      </c>
      <c r="D53" s="32"/>
      <c r="E53" s="32"/>
      <c r="G53" s="31"/>
      <c r="I53" s="31"/>
      <c r="J53" s="321" t="s">
        <v>269</v>
      </c>
      <c r="K53" s="321"/>
      <c r="L53" s="321"/>
      <c r="M53" s="33"/>
      <c r="N53" s="35"/>
      <c r="O53" s="35"/>
      <c r="P53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15" activePane="bottomRight" state="frozen"/>
      <selection pane="bottomRight" activeCell="R24" sqref="R24"/>
      <pageMargins left="0.75" right="0.5" top="0.94" bottom="0.71" header="0.76" footer="0.6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8" sqref="C18"/>
      <pageMargins left="0.75" right="0.5" top="0.94" bottom="0.71" header="0.76" footer="0.6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30" activePane="bottomRight" state="frozen"/>
      <selection pane="bottomRight" activeCell="R30" sqref="R30"/>
      <pageMargins left="0.75" right="0.5" top="0.94" bottom="0.71" header="0.76" footer="0.6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4">
    <mergeCell ref="J48:L48"/>
    <mergeCell ref="J52:L52"/>
    <mergeCell ref="J53:L53"/>
    <mergeCell ref="A13:C13"/>
    <mergeCell ref="E13:H13"/>
    <mergeCell ref="E15:H15"/>
    <mergeCell ref="E28:H28"/>
    <mergeCell ref="E42:H4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94" bottom="0.71" header="0.76" footer="0.6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2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4" sqref="C2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8"/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250</v>
      </c>
    </row>
    <row r="7" spans="1:19" ht="15" customHeight="1" x14ac:dyDescent="0.2">
      <c r="A7" s="6" t="s">
        <v>121</v>
      </c>
      <c r="B7" s="2" t="s">
        <v>113</v>
      </c>
      <c r="C7" s="6" t="s">
        <v>251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1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18"/>
      <c r="B12" s="118"/>
      <c r="C12" s="118"/>
      <c r="D12" s="9"/>
      <c r="E12" s="118"/>
      <c r="F12" s="118"/>
      <c r="G12" s="118"/>
      <c r="H12" s="118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247</v>
      </c>
      <c r="B17" s="25"/>
      <c r="C17" s="25"/>
    </row>
    <row r="18" spans="1:18" s="7" customFormat="1" ht="12.75" customHeight="1" x14ac:dyDescent="0.2">
      <c r="A18" s="71" t="s">
        <v>248</v>
      </c>
      <c r="B18" s="25"/>
      <c r="C18" s="25"/>
    </row>
    <row r="19" spans="1:18" s="7" customFormat="1" ht="12.75" customHeight="1" x14ac:dyDescent="0.2">
      <c r="A19" s="81" t="s">
        <v>252</v>
      </c>
      <c r="B19" s="25"/>
      <c r="C19" s="25"/>
      <c r="E19" s="325" t="s">
        <v>249</v>
      </c>
      <c r="F19" s="325"/>
      <c r="G19" s="325"/>
      <c r="H19" s="325"/>
      <c r="N19" s="36"/>
    </row>
    <row r="20" spans="1:18" s="7" customFormat="1" ht="12.75" customHeight="1" x14ac:dyDescent="0.2">
      <c r="A20" s="86" t="s">
        <v>264</v>
      </c>
      <c r="B20" s="111"/>
      <c r="C20" s="111"/>
      <c r="E20" s="112">
        <v>1</v>
      </c>
      <c r="F20" s="113" t="s">
        <v>93</v>
      </c>
      <c r="G20" s="112" t="s">
        <v>12</v>
      </c>
      <c r="H20" s="114" t="s">
        <v>49</v>
      </c>
      <c r="N20" s="36">
        <f>P20-L20</f>
        <v>0</v>
      </c>
    </row>
    <row r="21" spans="1:18" s="7" customFormat="1" ht="12.75" customHeight="1" x14ac:dyDescent="0.2">
      <c r="A21" s="86" t="s">
        <v>314</v>
      </c>
      <c r="B21" s="111"/>
      <c r="C21" s="111"/>
      <c r="E21" s="112">
        <v>1</v>
      </c>
      <c r="F21" s="113" t="s">
        <v>93</v>
      </c>
      <c r="G21" s="114" t="s">
        <v>34</v>
      </c>
      <c r="H21" s="114" t="s">
        <v>15</v>
      </c>
      <c r="N21" s="36">
        <f>P21-L21</f>
        <v>200000000</v>
      </c>
      <c r="P21" s="7">
        <v>200000000</v>
      </c>
    </row>
    <row r="22" spans="1:18" s="7" customFormat="1" ht="12.75" customHeight="1" x14ac:dyDescent="0.2">
      <c r="A22" s="86" t="s">
        <v>95</v>
      </c>
      <c r="B22" s="116"/>
      <c r="C22" s="116"/>
      <c r="E22" s="112">
        <v>1</v>
      </c>
      <c r="F22" s="113" t="s">
        <v>93</v>
      </c>
      <c r="G22" s="112" t="s">
        <v>34</v>
      </c>
      <c r="H22" s="112" t="s">
        <v>49</v>
      </c>
      <c r="N22" s="36">
        <f t="shared" ref="N22" si="0">P22-L22</f>
        <v>0</v>
      </c>
    </row>
    <row r="23" spans="1:18" s="7" customFormat="1" ht="12.75" customHeight="1" x14ac:dyDescent="0.2">
      <c r="A23" s="86" t="s">
        <v>177</v>
      </c>
      <c r="B23" s="111"/>
      <c r="C23" s="111"/>
      <c r="E23" s="112">
        <v>1</v>
      </c>
      <c r="F23" s="128" t="s">
        <v>93</v>
      </c>
      <c r="G23" s="145" t="s">
        <v>54</v>
      </c>
      <c r="H23" s="114" t="s">
        <v>146</v>
      </c>
      <c r="N23" s="36">
        <f>P23-L23</f>
        <v>25437033</v>
      </c>
      <c r="P23" s="7">
        <v>25437033</v>
      </c>
      <c r="R23" s="7">
        <v>1131000</v>
      </c>
    </row>
    <row r="24" spans="1:18" s="7" customFormat="1" ht="12.75" customHeight="1" x14ac:dyDescent="0.2">
      <c r="A24" s="86" t="s">
        <v>106</v>
      </c>
      <c r="B24" s="111"/>
      <c r="C24" s="111"/>
      <c r="E24" s="112">
        <v>1</v>
      </c>
      <c r="F24" s="128" t="s">
        <v>93</v>
      </c>
      <c r="G24" s="145" t="s">
        <v>67</v>
      </c>
      <c r="H24" s="114" t="s">
        <v>8</v>
      </c>
      <c r="N24" s="36">
        <f>P24-L24</f>
        <v>12500000</v>
      </c>
      <c r="P24" s="7">
        <v>12500000</v>
      </c>
    </row>
    <row r="25" spans="1:18" s="7" customFormat="1" ht="12.75" customHeight="1" x14ac:dyDescent="0.2">
      <c r="A25" s="86"/>
      <c r="B25" s="111"/>
      <c r="C25" s="111"/>
      <c r="E25" s="112"/>
      <c r="F25" s="128"/>
      <c r="G25" s="145"/>
      <c r="H25" s="114"/>
      <c r="N25" s="36"/>
    </row>
    <row r="26" spans="1:18" s="7" customFormat="1" ht="12.75" customHeight="1" x14ac:dyDescent="0.2">
      <c r="A26" s="126" t="s">
        <v>253</v>
      </c>
      <c r="B26" s="111"/>
      <c r="C26" s="111"/>
      <c r="E26" s="328" t="s">
        <v>262</v>
      </c>
      <c r="F26" s="328"/>
      <c r="G26" s="328"/>
      <c r="H26" s="328"/>
      <c r="N26" s="36"/>
    </row>
    <row r="27" spans="1:18" s="7" customFormat="1" ht="12.75" customHeight="1" x14ac:dyDescent="0.2">
      <c r="A27" s="86" t="s">
        <v>264</v>
      </c>
      <c r="B27" s="111"/>
      <c r="C27" s="111"/>
      <c r="E27" s="112">
        <v>1</v>
      </c>
      <c r="F27" s="113" t="s">
        <v>93</v>
      </c>
      <c r="G27" s="114" t="s">
        <v>12</v>
      </c>
      <c r="H27" s="134">
        <v>990</v>
      </c>
      <c r="N27" s="36"/>
      <c r="R27" s="7">
        <v>40000000</v>
      </c>
    </row>
    <row r="28" spans="1:18" s="7" customFormat="1" ht="12.75" customHeight="1" x14ac:dyDescent="0.2">
      <c r="A28" s="86" t="s">
        <v>237</v>
      </c>
      <c r="B28" s="111"/>
      <c r="C28" s="111"/>
      <c r="E28" s="112">
        <v>1</v>
      </c>
      <c r="F28" s="113" t="s">
        <v>93</v>
      </c>
      <c r="G28" s="112" t="s">
        <v>29</v>
      </c>
      <c r="H28" s="112" t="s">
        <v>17</v>
      </c>
      <c r="N28" s="36">
        <f t="shared" ref="N28:N31" si="1">P28-L28</f>
        <v>0</v>
      </c>
    </row>
    <row r="29" spans="1:18" s="7" customFormat="1" ht="12.75" customHeight="1" x14ac:dyDescent="0.2">
      <c r="A29" s="86" t="s">
        <v>238</v>
      </c>
      <c r="B29" s="111"/>
      <c r="C29" s="111"/>
      <c r="E29" s="112">
        <v>1</v>
      </c>
      <c r="F29" s="113" t="s">
        <v>93</v>
      </c>
      <c r="G29" s="112" t="s">
        <v>29</v>
      </c>
      <c r="H29" s="114" t="s">
        <v>49</v>
      </c>
      <c r="N29" s="36">
        <f t="shared" si="1"/>
        <v>27575000</v>
      </c>
      <c r="P29" s="7">
        <v>27575000</v>
      </c>
    </row>
    <row r="30" spans="1:18" s="7" customFormat="1" ht="12.75" customHeight="1" x14ac:dyDescent="0.2">
      <c r="A30" s="86" t="s">
        <v>94</v>
      </c>
      <c r="B30" s="111"/>
      <c r="C30" s="111"/>
      <c r="E30" s="112">
        <v>1</v>
      </c>
      <c r="F30" s="113" t="s">
        <v>93</v>
      </c>
      <c r="G30" s="114" t="s">
        <v>34</v>
      </c>
      <c r="H30" s="114" t="s">
        <v>8</v>
      </c>
      <c r="N30" s="36">
        <f>P30-L30</f>
        <v>10350000</v>
      </c>
      <c r="P30" s="7">
        <v>10350000</v>
      </c>
      <c r="R30" s="7">
        <v>567389000</v>
      </c>
    </row>
    <row r="31" spans="1:18" s="7" customFormat="1" ht="12.75" customHeight="1" x14ac:dyDescent="0.2">
      <c r="A31" s="86" t="s">
        <v>95</v>
      </c>
      <c r="B31" s="116"/>
      <c r="C31" s="116"/>
      <c r="E31" s="112">
        <v>1</v>
      </c>
      <c r="F31" s="113" t="s">
        <v>93</v>
      </c>
      <c r="G31" s="112" t="s">
        <v>34</v>
      </c>
      <c r="H31" s="112" t="s">
        <v>49</v>
      </c>
      <c r="N31" s="36">
        <f t="shared" si="1"/>
        <v>6200000</v>
      </c>
      <c r="P31" s="7">
        <v>6200000</v>
      </c>
    </row>
    <row r="32" spans="1:18" s="7" customFormat="1" ht="6" customHeight="1" x14ac:dyDescent="0.2">
      <c r="J32" s="129"/>
      <c r="L32" s="129"/>
      <c r="N32" s="129"/>
      <c r="P32" s="129"/>
      <c r="R32" s="129"/>
    </row>
    <row r="33" spans="1:18" s="7" customFormat="1" ht="20.100000000000001" customHeight="1" thickBot="1" x14ac:dyDescent="0.25">
      <c r="A33" s="11" t="s">
        <v>110</v>
      </c>
      <c r="B33" s="28"/>
      <c r="C33" s="28"/>
      <c r="J33" s="29">
        <f>SUM(J20:J32)</f>
        <v>0</v>
      </c>
      <c r="K33" s="23"/>
      <c r="L33" s="29">
        <f>SUM(L20:L32)</f>
        <v>0</v>
      </c>
      <c r="N33" s="29">
        <f>SUM(N20:N32)</f>
        <v>282062033</v>
      </c>
      <c r="P33" s="29">
        <f>SUM(P20:P32)</f>
        <v>282062033</v>
      </c>
      <c r="R33" s="29">
        <f>SUM(R20:R32)</f>
        <v>608520000</v>
      </c>
    </row>
    <row r="34" spans="1:18" s="7" customFormat="1" ht="13.5" thickTop="1" x14ac:dyDescent="0.2">
      <c r="A34" s="31"/>
      <c r="B34" s="31"/>
      <c r="C34" s="31"/>
      <c r="D34" s="34"/>
      <c r="E34" s="31"/>
      <c r="F34" s="31"/>
      <c r="H34" s="35"/>
      <c r="I34" s="35"/>
      <c r="J34" s="35"/>
      <c r="K34" s="35"/>
      <c r="L34" s="35"/>
      <c r="M34" s="35"/>
    </row>
    <row r="35" spans="1:18" s="7" customFormat="1" x14ac:dyDescent="0.2"/>
    <row r="36" spans="1:18" s="7" customFormat="1" x14ac:dyDescent="0.2"/>
    <row r="37" spans="1:18" x14ac:dyDescent="0.2">
      <c r="A37" s="75"/>
      <c r="C37" s="120" t="s">
        <v>133</v>
      </c>
      <c r="D37" s="33"/>
      <c r="E37" s="32"/>
      <c r="G37" s="31"/>
      <c r="I37" s="31"/>
      <c r="J37" s="321" t="s">
        <v>276</v>
      </c>
      <c r="K37" s="321"/>
      <c r="L37" s="321"/>
      <c r="M37" s="47"/>
      <c r="N37" s="49"/>
      <c r="O37" s="49"/>
      <c r="P37" s="48" t="s">
        <v>135</v>
      </c>
    </row>
    <row r="38" spans="1:18" x14ac:dyDescent="0.2">
      <c r="A38" s="50"/>
      <c r="C38" s="119"/>
      <c r="D38" s="33"/>
      <c r="E38" s="51"/>
      <c r="G38" s="31"/>
      <c r="I38" s="31"/>
      <c r="J38" s="120"/>
      <c r="M38" s="120"/>
      <c r="N38" s="36"/>
      <c r="O38" s="36"/>
      <c r="P38" s="51"/>
    </row>
    <row r="39" spans="1:18" x14ac:dyDescent="0.2">
      <c r="A39" s="50"/>
      <c r="C39" s="119"/>
      <c r="D39" s="33"/>
      <c r="E39" s="51"/>
      <c r="G39" s="31"/>
      <c r="I39" s="31"/>
      <c r="J39" s="120"/>
      <c r="M39" s="120"/>
      <c r="N39" s="36"/>
      <c r="O39" s="36"/>
      <c r="P39" s="51"/>
    </row>
    <row r="40" spans="1:18" x14ac:dyDescent="0.2">
      <c r="A40" s="52"/>
      <c r="C40" s="119"/>
      <c r="D40" s="31"/>
      <c r="E40" s="53"/>
      <c r="G40" s="31"/>
      <c r="I40" s="31"/>
      <c r="J40" s="31"/>
      <c r="M40" s="31"/>
      <c r="P40" s="53"/>
    </row>
    <row r="41" spans="1:18" x14ac:dyDescent="0.2">
      <c r="A41" s="76"/>
      <c r="C41" s="124" t="s">
        <v>222</v>
      </c>
      <c r="D41" s="55"/>
      <c r="E41" s="56"/>
      <c r="G41" s="31"/>
      <c r="I41" s="31"/>
      <c r="J41" s="322" t="s">
        <v>291</v>
      </c>
      <c r="K41" s="322"/>
      <c r="L41" s="322"/>
      <c r="M41" s="57"/>
      <c r="N41" s="59"/>
      <c r="O41" s="59"/>
      <c r="P41" s="58" t="s">
        <v>137</v>
      </c>
    </row>
    <row r="42" spans="1:18" x14ac:dyDescent="0.2">
      <c r="A42" s="74"/>
      <c r="C42" s="120" t="s">
        <v>282</v>
      </c>
      <c r="D42" s="31"/>
      <c r="E42" s="32"/>
      <c r="G42" s="31"/>
      <c r="I42" s="31"/>
      <c r="J42" s="321" t="s">
        <v>269</v>
      </c>
      <c r="K42" s="321"/>
      <c r="L42" s="321"/>
      <c r="M42" s="33"/>
      <c r="N42" s="35"/>
      <c r="O42" s="35"/>
      <c r="P42" s="60" t="s">
        <v>139</v>
      </c>
    </row>
  </sheetData>
  <customSheetViews>
    <customSheetView guid="{1998FCB8-1FEB-4076-ACE6-A225EE4366B3}" showPageBreaks="1" printArea="1" view="pageBreakPreview">
      <pane xSplit="1" ySplit="14" topLeftCell="B21" activePane="bottomRight" state="frozen"/>
      <selection pane="bottomRight" activeCell="C18" sqref="C18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N29" sqref="N2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3">
    <mergeCell ref="A1:S1"/>
    <mergeCell ref="A2:S2"/>
    <mergeCell ref="L9:P9"/>
    <mergeCell ref="P10:P12"/>
    <mergeCell ref="A11:C11"/>
    <mergeCell ref="E11:H11"/>
    <mergeCell ref="J42:L42"/>
    <mergeCell ref="A13:C13"/>
    <mergeCell ref="E13:H13"/>
    <mergeCell ref="E19:H19"/>
    <mergeCell ref="E26:H26"/>
    <mergeCell ref="J37:L37"/>
    <mergeCell ref="J41:L41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4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R20" sqref="R20:R2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8">
        <v>8918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250</v>
      </c>
    </row>
    <row r="7" spans="1:19" ht="15" customHeight="1" x14ac:dyDescent="0.2">
      <c r="A7" s="6" t="s">
        <v>121</v>
      </c>
      <c r="B7" s="2" t="s">
        <v>113</v>
      </c>
      <c r="C7" s="6" t="s">
        <v>251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1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52"/>
      <c r="B12" s="152"/>
      <c r="C12" s="152"/>
      <c r="D12" s="9"/>
      <c r="E12" s="152"/>
      <c r="F12" s="152"/>
      <c r="G12" s="152"/>
      <c r="H12" s="152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247</v>
      </c>
      <c r="B17" s="25"/>
      <c r="C17" s="25"/>
    </row>
    <row r="18" spans="1:18" s="7" customFormat="1" ht="12.75" customHeight="1" x14ac:dyDescent="0.2">
      <c r="A18" s="71" t="s">
        <v>313</v>
      </c>
      <c r="B18" s="25"/>
      <c r="C18" s="25"/>
    </row>
    <row r="19" spans="1:18" s="7" customFormat="1" ht="12.75" customHeight="1" x14ac:dyDescent="0.2">
      <c r="A19" s="81"/>
      <c r="B19" s="111"/>
      <c r="C19" s="111"/>
      <c r="E19" s="328" t="s">
        <v>254</v>
      </c>
      <c r="F19" s="328"/>
      <c r="G19" s="328"/>
      <c r="H19" s="328"/>
    </row>
    <row r="20" spans="1:18" s="7" customFormat="1" ht="15" customHeight="1" x14ac:dyDescent="0.2">
      <c r="A20" s="86" t="s">
        <v>178</v>
      </c>
      <c r="B20" s="111"/>
      <c r="C20" s="111"/>
      <c r="E20" s="112">
        <v>1</v>
      </c>
      <c r="F20" s="113" t="s">
        <v>93</v>
      </c>
      <c r="G20" s="112" t="s">
        <v>29</v>
      </c>
      <c r="H20" s="112" t="s">
        <v>8</v>
      </c>
      <c r="N20" s="36">
        <f>P20-L20</f>
        <v>123400000</v>
      </c>
      <c r="P20" s="7">
        <v>123400000</v>
      </c>
      <c r="R20" s="7">
        <v>70750000</v>
      </c>
    </row>
    <row r="21" spans="1:18" s="7" customFormat="1" ht="15" customHeight="1" x14ac:dyDescent="0.2">
      <c r="A21" s="86" t="s">
        <v>241</v>
      </c>
      <c r="B21" s="111"/>
      <c r="C21" s="115"/>
      <c r="E21" s="112">
        <v>1</v>
      </c>
      <c r="F21" s="113" t="s">
        <v>93</v>
      </c>
      <c r="G21" s="112" t="s">
        <v>29</v>
      </c>
      <c r="H21" s="114" t="s">
        <v>10</v>
      </c>
      <c r="N21" s="36">
        <f t="shared" ref="N21:N23" si="0">P21-L21</f>
        <v>83945409.799999997</v>
      </c>
      <c r="P21" s="7">
        <v>83945409.799999997</v>
      </c>
      <c r="R21" s="7">
        <v>35500000</v>
      </c>
    </row>
    <row r="22" spans="1:18" s="7" customFormat="1" ht="15" customHeight="1" x14ac:dyDescent="0.2">
      <c r="A22" s="86" t="s">
        <v>238</v>
      </c>
      <c r="B22" s="111"/>
      <c r="C22" s="183"/>
      <c r="E22" s="112">
        <v>1</v>
      </c>
      <c r="F22" s="113" t="s">
        <v>93</v>
      </c>
      <c r="G22" s="112" t="s">
        <v>29</v>
      </c>
      <c r="H22" s="114" t="s">
        <v>49</v>
      </c>
      <c r="N22" s="36">
        <f>P22-L22</f>
        <v>3900000</v>
      </c>
      <c r="P22" s="7">
        <v>3900000</v>
      </c>
    </row>
    <row r="23" spans="1:18" s="7" customFormat="1" ht="15" customHeight="1" x14ac:dyDescent="0.2">
      <c r="A23" s="86" t="s">
        <v>94</v>
      </c>
      <c r="B23" s="111"/>
      <c r="C23" s="111"/>
      <c r="E23" s="112">
        <v>1</v>
      </c>
      <c r="F23" s="113" t="s">
        <v>93</v>
      </c>
      <c r="G23" s="112" t="s">
        <v>34</v>
      </c>
      <c r="H23" s="114" t="s">
        <v>8</v>
      </c>
      <c r="N23" s="36">
        <f t="shared" si="0"/>
        <v>207700000</v>
      </c>
      <c r="P23" s="7">
        <v>207700000</v>
      </c>
    </row>
    <row r="24" spans="1:18" s="7" customFormat="1" ht="6" customHeight="1" x14ac:dyDescent="0.2">
      <c r="J24" s="129"/>
      <c r="L24" s="129"/>
      <c r="N24" s="129"/>
      <c r="P24" s="129"/>
      <c r="R24" s="129"/>
    </row>
    <row r="25" spans="1:18" s="7" customFormat="1" ht="20.100000000000001" customHeight="1" thickBot="1" x14ac:dyDescent="0.25">
      <c r="A25" s="11" t="s">
        <v>110</v>
      </c>
      <c r="B25" s="28"/>
      <c r="C25" s="28"/>
      <c r="J25" s="29">
        <f>SUM(J20:J24)</f>
        <v>0</v>
      </c>
      <c r="K25" s="23"/>
      <c r="L25" s="29">
        <f>SUM(L20:L24)</f>
        <v>0</v>
      </c>
      <c r="N25" s="29">
        <f>SUM(N20:N24)</f>
        <v>418945409.80000001</v>
      </c>
      <c r="P25" s="29">
        <f>SUM(P20:P24)</f>
        <v>418945409.80000001</v>
      </c>
      <c r="R25" s="29">
        <f>SUM(R20:R24)</f>
        <v>106250000</v>
      </c>
    </row>
    <row r="26" spans="1:18" s="7" customFormat="1" ht="13.5" thickTop="1" x14ac:dyDescent="0.2">
      <c r="A26" s="31"/>
      <c r="B26" s="31"/>
      <c r="C26" s="31"/>
      <c r="D26" s="34"/>
      <c r="E26" s="31"/>
      <c r="F26" s="31"/>
      <c r="H26" s="35"/>
      <c r="I26" s="35"/>
      <c r="J26" s="35"/>
      <c r="K26" s="35"/>
      <c r="L26" s="35"/>
      <c r="M26" s="35"/>
    </row>
    <row r="27" spans="1:18" s="7" customFormat="1" x14ac:dyDescent="0.2"/>
    <row r="28" spans="1:18" s="7" customFormat="1" x14ac:dyDescent="0.2"/>
    <row r="29" spans="1:18" x14ac:dyDescent="0.2">
      <c r="A29" s="75"/>
      <c r="C29" s="120" t="s">
        <v>133</v>
      </c>
      <c r="D29" s="33"/>
      <c r="E29" s="32"/>
      <c r="G29" s="31"/>
      <c r="I29" s="31"/>
      <c r="J29" s="321" t="s">
        <v>276</v>
      </c>
      <c r="K29" s="321"/>
      <c r="L29" s="321"/>
      <c r="M29" s="47"/>
      <c r="N29" s="49"/>
      <c r="O29" s="49"/>
      <c r="P29" s="48" t="s">
        <v>135</v>
      </c>
    </row>
    <row r="30" spans="1:18" x14ac:dyDescent="0.2">
      <c r="A30" s="50"/>
      <c r="C30" s="119"/>
      <c r="D30" s="33"/>
      <c r="E30" s="51"/>
      <c r="G30" s="31"/>
      <c r="I30" s="31"/>
      <c r="J30" s="120"/>
      <c r="M30" s="120"/>
      <c r="N30" s="36"/>
      <c r="O30" s="36"/>
      <c r="P30" s="51"/>
    </row>
    <row r="31" spans="1:18" x14ac:dyDescent="0.2">
      <c r="A31" s="50"/>
      <c r="C31" s="119"/>
      <c r="D31" s="33"/>
      <c r="E31" s="51"/>
      <c r="G31" s="31"/>
      <c r="I31" s="31"/>
      <c r="J31" s="120"/>
      <c r="M31" s="120"/>
      <c r="N31" s="36"/>
      <c r="O31" s="36"/>
      <c r="P31" s="51"/>
    </row>
    <row r="32" spans="1:18" x14ac:dyDescent="0.2">
      <c r="A32" s="52"/>
      <c r="C32" s="119"/>
      <c r="D32" s="31"/>
      <c r="E32" s="53"/>
      <c r="G32" s="31"/>
      <c r="I32" s="31"/>
      <c r="J32" s="31"/>
      <c r="M32" s="31"/>
      <c r="P32" s="53"/>
    </row>
    <row r="33" spans="1:16" x14ac:dyDescent="0.2">
      <c r="A33" s="76"/>
      <c r="C33" s="124" t="s">
        <v>222</v>
      </c>
      <c r="D33" s="55"/>
      <c r="E33" s="56"/>
      <c r="G33" s="31"/>
      <c r="I33" s="31"/>
      <c r="J33" s="322" t="s">
        <v>291</v>
      </c>
      <c r="K33" s="322"/>
      <c r="L33" s="322"/>
      <c r="M33" s="57"/>
      <c r="N33" s="59"/>
      <c r="O33" s="59"/>
      <c r="P33" s="58" t="s">
        <v>137</v>
      </c>
    </row>
    <row r="34" spans="1:16" x14ac:dyDescent="0.2">
      <c r="A34" s="74"/>
      <c r="C34" s="120" t="s">
        <v>282</v>
      </c>
      <c r="D34" s="31"/>
      <c r="E34" s="32"/>
      <c r="G34" s="31"/>
      <c r="I34" s="31"/>
      <c r="J34" s="321" t="s">
        <v>269</v>
      </c>
      <c r="K34" s="321"/>
      <c r="L34" s="321"/>
      <c r="M34" s="33"/>
      <c r="N34" s="35"/>
      <c r="O34" s="35"/>
      <c r="P34" s="60" t="s">
        <v>139</v>
      </c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C20" sqref="C20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R21" sqref="R21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J34:L34"/>
    <mergeCell ref="A1:S1"/>
    <mergeCell ref="A2:S2"/>
    <mergeCell ref="L9:P9"/>
    <mergeCell ref="P10:P12"/>
    <mergeCell ref="A11:C11"/>
    <mergeCell ref="E11:H11"/>
    <mergeCell ref="A13:C13"/>
    <mergeCell ref="E13:H13"/>
    <mergeCell ref="E19:H19"/>
    <mergeCell ref="J29:L29"/>
    <mergeCell ref="J33:L33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87"/>
  <sheetViews>
    <sheetView view="pageBreakPreview" zoomScaleNormal="85" zoomScaleSheetLayoutView="100" workbookViewId="0">
      <pane xSplit="1" ySplit="14" topLeftCell="B79" activePane="bottomRight" state="frozen"/>
      <selection pane="topRight" activeCell="B1" sqref="B1"/>
      <selection pane="bottomLeft" activeCell="A15" sqref="A15"/>
      <selection pane="bottomRight" activeCell="R78" sqref="R7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339</v>
      </c>
      <c r="H4" s="3"/>
      <c r="I4" s="3"/>
      <c r="R4" s="77">
        <v>1201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340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204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204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203"/>
      <c r="B12" s="203"/>
      <c r="C12" s="203"/>
      <c r="D12" s="9"/>
      <c r="E12" s="203"/>
      <c r="F12" s="203"/>
      <c r="G12" s="203"/>
      <c r="H12" s="20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205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86" t="s">
        <v>6</v>
      </c>
      <c r="B17" s="111"/>
      <c r="C17" s="111"/>
      <c r="D17" s="112"/>
      <c r="E17" s="112">
        <v>5</v>
      </c>
      <c r="F17" s="113" t="s">
        <v>7</v>
      </c>
      <c r="G17" s="112" t="s">
        <v>7</v>
      </c>
      <c r="H17" s="112" t="s">
        <v>8</v>
      </c>
      <c r="I17" s="112"/>
      <c r="J17" s="13">
        <v>605643</v>
      </c>
      <c r="K17" s="13"/>
      <c r="L17" s="7">
        <v>1146126.05</v>
      </c>
      <c r="N17" s="7">
        <f t="shared" ref="N17:N30" si="0">P17-L17</f>
        <v>3941243.95</v>
      </c>
      <c r="P17" s="7">
        <v>5087370</v>
      </c>
      <c r="R17" s="36">
        <v>5439445.6399999997</v>
      </c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13">
        <v>30000</v>
      </c>
      <c r="K18" s="13"/>
      <c r="L18" s="7">
        <v>55933.02</v>
      </c>
      <c r="N18" s="7">
        <f t="shared" si="0"/>
        <v>280066.98</v>
      </c>
      <c r="P18" s="7">
        <v>336000</v>
      </c>
      <c r="R18" s="36">
        <v>336000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13">
        <v>22500</v>
      </c>
      <c r="K19" s="13"/>
      <c r="L19" s="7">
        <v>45000</v>
      </c>
      <c r="N19" s="7">
        <f t="shared" si="0"/>
        <v>147000</v>
      </c>
      <c r="P19" s="7">
        <v>192000</v>
      </c>
      <c r="R19" s="36">
        <v>192000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13">
        <v>22500</v>
      </c>
      <c r="K20" s="13"/>
      <c r="L20" s="7">
        <v>45000</v>
      </c>
      <c r="N20" s="7">
        <f t="shared" si="0"/>
        <v>147000</v>
      </c>
      <c r="P20" s="7">
        <v>192000</v>
      </c>
      <c r="R20" s="36">
        <v>192000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13"/>
      <c r="K21" s="13"/>
      <c r="L21" s="7">
        <v>30000</v>
      </c>
      <c r="N21" s="7">
        <f t="shared" si="0"/>
        <v>54000</v>
      </c>
      <c r="P21" s="7">
        <v>84000</v>
      </c>
      <c r="R21" s="36">
        <v>84000</v>
      </c>
    </row>
    <row r="22" spans="1:18" s="7" customFormat="1" ht="12.75" customHeight="1" x14ac:dyDescent="0.2">
      <c r="A22" s="86" t="s">
        <v>22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34">
        <v>110</v>
      </c>
      <c r="J22" s="13"/>
      <c r="K22" s="13"/>
      <c r="L22" s="7">
        <v>187500</v>
      </c>
      <c r="N22" s="7">
        <f t="shared" si="0"/>
        <v>70500</v>
      </c>
      <c r="P22" s="7">
        <v>258000</v>
      </c>
      <c r="R22" s="36">
        <v>0</v>
      </c>
    </row>
    <row r="23" spans="1:18" s="7" customFormat="1" ht="12.75" customHeight="1" x14ac:dyDescent="0.2">
      <c r="A23" s="86" t="s">
        <v>27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4" t="s">
        <v>28</v>
      </c>
      <c r="J23" s="7">
        <v>201881</v>
      </c>
      <c r="L23" s="7">
        <v>0</v>
      </c>
      <c r="N23" s="7">
        <f t="shared" si="0"/>
        <v>436536</v>
      </c>
      <c r="P23" s="7">
        <v>436536</v>
      </c>
      <c r="R23" s="36">
        <v>452969</v>
      </c>
    </row>
    <row r="24" spans="1:18" s="7" customFormat="1" ht="12.75" customHeight="1" x14ac:dyDescent="0.2">
      <c r="A24" s="86" t="s">
        <v>25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26</v>
      </c>
      <c r="J24" s="7">
        <v>25000</v>
      </c>
      <c r="L24" s="7">
        <v>0</v>
      </c>
      <c r="N24" s="7">
        <f t="shared" si="0"/>
        <v>70000</v>
      </c>
      <c r="P24" s="7">
        <v>70000</v>
      </c>
      <c r="R24" s="36">
        <v>70000</v>
      </c>
    </row>
    <row r="25" spans="1:18" s="7" customFormat="1" ht="12.75" customHeight="1" x14ac:dyDescent="0.2">
      <c r="A25" s="86" t="s">
        <v>140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49</v>
      </c>
      <c r="J25" s="13">
        <v>0</v>
      </c>
      <c r="K25" s="13"/>
      <c r="L25" s="7">
        <v>201881</v>
      </c>
      <c r="N25" s="7">
        <f t="shared" si="0"/>
        <v>234655</v>
      </c>
      <c r="P25" s="7">
        <v>436536</v>
      </c>
      <c r="R25" s="36">
        <v>452969</v>
      </c>
    </row>
    <row r="26" spans="1:18" s="7" customFormat="1" ht="12.75" customHeight="1" x14ac:dyDescent="0.2">
      <c r="A26" s="86" t="s">
        <v>263</v>
      </c>
      <c r="B26" s="111"/>
      <c r="C26" s="111"/>
      <c r="D26" s="112"/>
      <c r="E26" s="112">
        <v>5</v>
      </c>
      <c r="F26" s="113" t="s">
        <v>7</v>
      </c>
      <c r="G26" s="112" t="s">
        <v>29</v>
      </c>
      <c r="H26" s="112" t="s">
        <v>8</v>
      </c>
      <c r="J26" s="7">
        <v>72677.16</v>
      </c>
      <c r="L26" s="7">
        <v>137727.38</v>
      </c>
      <c r="N26" s="7">
        <f t="shared" si="0"/>
        <v>490884.45999999996</v>
      </c>
      <c r="P26" s="7">
        <v>628611.83999999997</v>
      </c>
      <c r="R26" s="36">
        <v>652275.36</v>
      </c>
    </row>
    <row r="27" spans="1:18" s="7" customFormat="1" ht="12.75" customHeight="1" x14ac:dyDescent="0.2">
      <c r="A27" s="86" t="s">
        <v>30</v>
      </c>
      <c r="B27" s="111"/>
      <c r="C27" s="111"/>
      <c r="D27" s="112"/>
      <c r="E27" s="112">
        <v>5</v>
      </c>
      <c r="F27" s="113" t="s">
        <v>7</v>
      </c>
      <c r="G27" s="112" t="s">
        <v>29</v>
      </c>
      <c r="H27" s="112" t="s">
        <v>10</v>
      </c>
      <c r="J27" s="7">
        <v>1500</v>
      </c>
      <c r="L27" s="7">
        <v>2900</v>
      </c>
      <c r="N27" s="7">
        <f t="shared" si="0"/>
        <v>13900</v>
      </c>
      <c r="P27" s="7">
        <v>16800</v>
      </c>
      <c r="R27" s="36">
        <v>16800</v>
      </c>
    </row>
    <row r="28" spans="1:18" s="7" customFormat="1" ht="12.75" customHeight="1" x14ac:dyDescent="0.2">
      <c r="A28" s="86" t="s">
        <v>31</v>
      </c>
      <c r="B28" s="111"/>
      <c r="C28" s="111"/>
      <c r="D28" s="112"/>
      <c r="E28" s="112">
        <v>5</v>
      </c>
      <c r="F28" s="113" t="s">
        <v>7</v>
      </c>
      <c r="G28" s="112" t="s">
        <v>29</v>
      </c>
      <c r="H28" s="112" t="s">
        <v>15</v>
      </c>
      <c r="J28" s="7">
        <v>6573.08</v>
      </c>
      <c r="L28" s="7">
        <v>15583.3</v>
      </c>
      <c r="N28" s="7">
        <f t="shared" si="0"/>
        <v>49995.199999999997</v>
      </c>
      <c r="P28" s="7">
        <v>65578.5</v>
      </c>
      <c r="R28" s="36">
        <v>83351.94</v>
      </c>
    </row>
    <row r="29" spans="1:18" s="7" customFormat="1" ht="12.75" customHeight="1" x14ac:dyDescent="0.2">
      <c r="A29" s="86" t="s">
        <v>32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17</v>
      </c>
      <c r="J29" s="7">
        <v>1500</v>
      </c>
      <c r="L29" s="7">
        <v>2900</v>
      </c>
      <c r="N29" s="7">
        <f t="shared" si="0"/>
        <v>13900</v>
      </c>
      <c r="P29" s="7">
        <v>16800</v>
      </c>
      <c r="R29" s="36">
        <v>16800</v>
      </c>
    </row>
    <row r="30" spans="1:18" s="7" customFormat="1" ht="12.75" customHeight="1" x14ac:dyDescent="0.2">
      <c r="A30" s="86" t="s">
        <v>35</v>
      </c>
      <c r="B30" s="111"/>
      <c r="C30" s="111"/>
      <c r="D30" s="112"/>
      <c r="E30" s="112">
        <v>5</v>
      </c>
      <c r="F30" s="113" t="s">
        <v>7</v>
      </c>
      <c r="G30" s="112" t="s">
        <v>34</v>
      </c>
      <c r="H30" s="112" t="s">
        <v>49</v>
      </c>
      <c r="J30" s="7">
        <v>35000</v>
      </c>
      <c r="L30" s="7">
        <v>0</v>
      </c>
      <c r="N30" s="7">
        <f t="shared" si="0"/>
        <v>70000</v>
      </c>
      <c r="P30" s="7">
        <v>70000</v>
      </c>
      <c r="R30" s="36">
        <v>70000</v>
      </c>
    </row>
    <row r="31" spans="1:18" s="7" customFormat="1" ht="12.75" hidden="1" customHeight="1" x14ac:dyDescent="0.2">
      <c r="A31" s="86" t="s">
        <v>149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64</v>
      </c>
      <c r="R31" s="36"/>
    </row>
    <row r="32" spans="1:18" s="7" customFormat="1" ht="18.95" customHeight="1" x14ac:dyDescent="0.2">
      <c r="A32" s="63" t="s">
        <v>36</v>
      </c>
      <c r="B32" s="26"/>
      <c r="C32" s="26"/>
      <c r="J32" s="161">
        <f>SUM(J17:J31)</f>
        <v>1024774.24</v>
      </c>
      <c r="K32" s="162"/>
      <c r="L32" s="161">
        <f>SUM(L17:L31)</f>
        <v>1870550.7500000002</v>
      </c>
      <c r="M32" s="36"/>
      <c r="N32" s="161">
        <f>SUM(N17:N31)</f>
        <v>6019681.5899999999</v>
      </c>
      <c r="O32" s="36"/>
      <c r="P32" s="161">
        <f>SUM(P17:P31)</f>
        <v>7890232.3399999999</v>
      </c>
      <c r="R32" s="161">
        <f>SUM(R17:R31)</f>
        <v>8058610.9400000004</v>
      </c>
    </row>
    <row r="33" spans="1:18" s="7" customFormat="1" ht="6" customHeight="1" x14ac:dyDescent="0.2">
      <c r="A33" s="17"/>
      <c r="B33" s="17"/>
      <c r="C33" s="17"/>
      <c r="J33" s="162"/>
      <c r="K33" s="162"/>
      <c r="L33" s="36"/>
      <c r="M33" s="36"/>
      <c r="N33" s="36"/>
      <c r="O33" s="36"/>
      <c r="P33" s="36"/>
      <c r="R33" s="36"/>
    </row>
    <row r="34" spans="1:18" s="7" customFormat="1" ht="12.75" customHeight="1" x14ac:dyDescent="0.2">
      <c r="A34" s="68" t="s">
        <v>188</v>
      </c>
      <c r="B34" s="12"/>
      <c r="C34" s="12"/>
      <c r="J34" s="36"/>
      <c r="K34" s="36"/>
      <c r="L34" s="36"/>
      <c r="M34" s="36"/>
      <c r="N34" s="36"/>
      <c r="O34" s="36"/>
      <c r="P34" s="36"/>
      <c r="R34" s="36"/>
    </row>
    <row r="35" spans="1:18" s="7" customFormat="1" ht="6" customHeight="1" x14ac:dyDescent="0.2">
      <c r="A35" s="68"/>
      <c r="B35" s="12"/>
      <c r="C35" s="12"/>
      <c r="J35" s="36"/>
      <c r="K35" s="36"/>
      <c r="L35" s="36"/>
      <c r="M35" s="36"/>
      <c r="N35" s="36"/>
      <c r="O35" s="36"/>
      <c r="P35" s="36"/>
      <c r="R35" s="36"/>
    </row>
    <row r="36" spans="1:18" s="7" customFormat="1" ht="12.75" customHeight="1" x14ac:dyDescent="0.2">
      <c r="A36" s="86" t="s">
        <v>37</v>
      </c>
      <c r="B36" s="111"/>
      <c r="C36" s="111"/>
      <c r="D36" s="112"/>
      <c r="E36" s="112">
        <v>5</v>
      </c>
      <c r="F36" s="113" t="s">
        <v>12</v>
      </c>
      <c r="G36" s="112" t="s">
        <v>7</v>
      </c>
      <c r="H36" s="112" t="s">
        <v>8</v>
      </c>
      <c r="J36" s="36"/>
      <c r="K36" s="36"/>
      <c r="L36" s="36">
        <v>30000</v>
      </c>
      <c r="M36" s="36"/>
      <c r="N36" s="36">
        <f t="shared" ref="N36:N41" si="1">P36-L36</f>
        <v>54000</v>
      </c>
      <c r="O36" s="36"/>
      <c r="P36" s="36">
        <v>84000</v>
      </c>
      <c r="R36" s="36">
        <v>84000</v>
      </c>
    </row>
    <row r="37" spans="1:18" s="7" customFormat="1" ht="12.75" customHeight="1" x14ac:dyDescent="0.2">
      <c r="A37" s="86" t="s">
        <v>43</v>
      </c>
      <c r="B37" s="111"/>
      <c r="C37" s="111"/>
      <c r="D37" s="112"/>
      <c r="E37" s="112"/>
      <c r="F37" s="113"/>
      <c r="G37" s="112"/>
      <c r="H37" s="112"/>
      <c r="J37" s="36"/>
      <c r="K37" s="36"/>
      <c r="L37" s="36">
        <v>726000</v>
      </c>
      <c r="M37" s="36"/>
      <c r="N37" s="36">
        <f t="shared" si="1"/>
        <v>242878</v>
      </c>
      <c r="O37" s="36"/>
      <c r="P37" s="36">
        <v>968878</v>
      </c>
      <c r="R37" s="36">
        <v>0</v>
      </c>
    </row>
    <row r="38" spans="1:18" s="7" customFormat="1" ht="12.75" customHeight="1" x14ac:dyDescent="0.2">
      <c r="A38" s="86" t="s">
        <v>150</v>
      </c>
      <c r="B38" s="111"/>
      <c r="C38" s="111"/>
      <c r="D38" s="112"/>
      <c r="E38" s="112"/>
      <c r="F38" s="113"/>
      <c r="G38" s="112"/>
      <c r="H38" s="112"/>
      <c r="J38" s="36"/>
      <c r="K38" s="36"/>
      <c r="L38" s="36">
        <v>1625000</v>
      </c>
      <c r="M38" s="36"/>
      <c r="N38" s="36">
        <f t="shared" si="1"/>
        <v>385000</v>
      </c>
      <c r="O38" s="36"/>
      <c r="P38" s="36">
        <v>2010000</v>
      </c>
      <c r="R38" s="36">
        <v>0</v>
      </c>
    </row>
    <row r="39" spans="1:18" s="7" customFormat="1" ht="12.75" customHeight="1" x14ac:dyDescent="0.2">
      <c r="A39" s="86" t="s">
        <v>341</v>
      </c>
      <c r="B39" s="111"/>
      <c r="C39" s="111"/>
      <c r="D39" s="112"/>
      <c r="E39" s="112"/>
      <c r="F39" s="113"/>
      <c r="G39" s="112"/>
      <c r="H39" s="112"/>
      <c r="J39" s="36"/>
      <c r="K39" s="36"/>
      <c r="L39" s="36">
        <v>20833280</v>
      </c>
      <c r="M39" s="36"/>
      <c r="N39" s="36">
        <f t="shared" si="1"/>
        <v>0</v>
      </c>
      <c r="O39" s="36"/>
      <c r="P39" s="36">
        <v>20833280</v>
      </c>
      <c r="R39" s="36">
        <v>0</v>
      </c>
    </row>
    <row r="40" spans="1:18" s="7" customFormat="1" ht="12.75" customHeight="1" x14ac:dyDescent="0.2">
      <c r="A40" s="86" t="s">
        <v>48</v>
      </c>
      <c r="B40" s="111"/>
      <c r="C40" s="111"/>
      <c r="D40" s="112"/>
      <c r="E40" s="112"/>
      <c r="F40" s="113"/>
      <c r="G40" s="112"/>
      <c r="H40" s="112"/>
      <c r="J40" s="36"/>
      <c r="K40" s="36"/>
      <c r="L40" s="36">
        <v>578600</v>
      </c>
      <c r="M40" s="36"/>
      <c r="N40" s="36">
        <f t="shared" si="1"/>
        <v>648193</v>
      </c>
      <c r="O40" s="36"/>
      <c r="P40" s="36">
        <v>1226793</v>
      </c>
      <c r="R40" s="36">
        <v>0</v>
      </c>
    </row>
    <row r="41" spans="1:18" s="7" customFormat="1" ht="12.75" customHeight="1" x14ac:dyDescent="0.2">
      <c r="A41" s="86" t="s">
        <v>44</v>
      </c>
      <c r="B41" s="111"/>
      <c r="C41" s="111"/>
      <c r="D41" s="112"/>
      <c r="E41" s="112">
        <v>5</v>
      </c>
      <c r="F41" s="113" t="s">
        <v>12</v>
      </c>
      <c r="G41" s="112" t="s">
        <v>29</v>
      </c>
      <c r="H41" s="112" t="s">
        <v>45</v>
      </c>
      <c r="J41" s="39"/>
      <c r="K41" s="39"/>
      <c r="L41" s="36">
        <v>44914.239999999998</v>
      </c>
      <c r="M41" s="36"/>
      <c r="N41" s="36">
        <f t="shared" si="1"/>
        <v>725085.76</v>
      </c>
      <c r="O41" s="36"/>
      <c r="P41" s="36">
        <v>770000</v>
      </c>
      <c r="R41" s="36">
        <v>770000</v>
      </c>
    </row>
    <row r="42" spans="1:18" s="7" customFormat="1" ht="18.95" customHeight="1" x14ac:dyDescent="0.2">
      <c r="A42" s="323" t="s">
        <v>191</v>
      </c>
      <c r="B42" s="323"/>
      <c r="C42" s="323"/>
      <c r="J42" s="161">
        <f>SUM(J36:J41)</f>
        <v>0</v>
      </c>
      <c r="K42" s="162"/>
      <c r="L42" s="161">
        <f>SUM(L36:L41)</f>
        <v>23837794.239999998</v>
      </c>
      <c r="M42" s="36"/>
      <c r="N42" s="161">
        <f>SUM(N36:N41)</f>
        <v>2055156.76</v>
      </c>
      <c r="O42" s="36"/>
      <c r="P42" s="161">
        <f>SUM(P36:P41)</f>
        <v>25892951</v>
      </c>
      <c r="R42" s="161">
        <f>SUM(R36:R41)</f>
        <v>854000</v>
      </c>
    </row>
    <row r="43" spans="1:18" s="7" customFormat="1" ht="6" customHeight="1" x14ac:dyDescent="0.2">
      <c r="A43" s="20"/>
      <c r="B43" s="20"/>
      <c r="C43" s="20"/>
      <c r="J43" s="18"/>
      <c r="K43" s="18"/>
    </row>
    <row r="44" spans="1:18" s="7" customFormat="1" ht="12" hidden="1" customHeight="1" x14ac:dyDescent="0.2">
      <c r="A44" s="69" t="s">
        <v>189</v>
      </c>
    </row>
    <row r="45" spans="1:18" s="7" customFormat="1" ht="12" hidden="1" customHeight="1" x14ac:dyDescent="0.2">
      <c r="A45" s="86" t="s">
        <v>109</v>
      </c>
      <c r="E45" s="112">
        <v>5</v>
      </c>
      <c r="F45" s="113" t="s">
        <v>29</v>
      </c>
      <c r="G45" s="112" t="s">
        <v>7</v>
      </c>
      <c r="H45" s="112" t="s">
        <v>17</v>
      </c>
    </row>
    <row r="46" spans="1:18" s="7" customFormat="1" ht="12" hidden="1" customHeight="1" x14ac:dyDescent="0.2">
      <c r="A46" s="86" t="s">
        <v>180</v>
      </c>
      <c r="E46" s="112">
        <v>5</v>
      </c>
      <c r="F46" s="113" t="s">
        <v>29</v>
      </c>
      <c r="G46" s="112" t="s">
        <v>7</v>
      </c>
      <c r="H46" s="112" t="s">
        <v>64</v>
      </c>
    </row>
    <row r="47" spans="1:18" s="7" customFormat="1" ht="12" hidden="1" customHeight="1" x14ac:dyDescent="0.2">
      <c r="A47" s="86" t="s">
        <v>181</v>
      </c>
      <c r="E47" s="112">
        <v>5</v>
      </c>
      <c r="F47" s="113" t="s">
        <v>29</v>
      </c>
      <c r="G47" s="112" t="s">
        <v>7</v>
      </c>
      <c r="H47" s="114" t="s">
        <v>49</v>
      </c>
    </row>
    <row r="48" spans="1:18" s="7" customFormat="1" ht="12" hidden="1" customHeight="1" x14ac:dyDescent="0.2">
      <c r="A48" s="86" t="s">
        <v>181</v>
      </c>
      <c r="E48" s="112">
        <v>5</v>
      </c>
      <c r="F48" s="113" t="s">
        <v>29</v>
      </c>
      <c r="G48" s="112" t="s">
        <v>7</v>
      </c>
      <c r="H48" s="114" t="s">
        <v>49</v>
      </c>
    </row>
    <row r="49" spans="1:18" s="7" customFormat="1" ht="12" hidden="1" customHeight="1" x14ac:dyDescent="0.2">
      <c r="A49" s="86" t="s">
        <v>182</v>
      </c>
      <c r="E49" s="112">
        <v>5</v>
      </c>
      <c r="F49" s="113" t="s">
        <v>29</v>
      </c>
      <c r="G49" s="112" t="s">
        <v>7</v>
      </c>
      <c r="H49" s="112" t="s">
        <v>10</v>
      </c>
    </row>
    <row r="50" spans="1:18" s="7" customFormat="1" ht="12" hidden="1" customHeight="1" x14ac:dyDescent="0.2">
      <c r="A50" s="86" t="s">
        <v>181</v>
      </c>
      <c r="E50" s="112">
        <v>5</v>
      </c>
      <c r="F50" s="113" t="s">
        <v>29</v>
      </c>
      <c r="G50" s="112" t="s">
        <v>7</v>
      </c>
      <c r="H50" s="114" t="s">
        <v>49</v>
      </c>
    </row>
    <row r="51" spans="1:18" s="7" customFormat="1" ht="12" hidden="1" customHeight="1" x14ac:dyDescent="0.2">
      <c r="A51" s="86" t="s">
        <v>183</v>
      </c>
      <c r="E51" s="112">
        <v>5</v>
      </c>
      <c r="F51" s="113" t="s">
        <v>29</v>
      </c>
      <c r="G51" s="112" t="s">
        <v>7</v>
      </c>
      <c r="H51" s="112" t="s">
        <v>8</v>
      </c>
    </row>
    <row r="52" spans="1:18" s="7" customFormat="1" ht="12" hidden="1" customHeight="1" x14ac:dyDescent="0.2">
      <c r="A52" s="86" t="s">
        <v>184</v>
      </c>
      <c r="E52" s="112">
        <v>5</v>
      </c>
      <c r="F52" s="113" t="s">
        <v>29</v>
      </c>
      <c r="G52" s="112" t="s">
        <v>7</v>
      </c>
      <c r="H52" s="112" t="s">
        <v>15</v>
      </c>
    </row>
    <row r="53" spans="1:18" s="7" customFormat="1" ht="18.95" hidden="1" customHeight="1" x14ac:dyDescent="0.2">
      <c r="A53" s="63" t="s">
        <v>185</v>
      </c>
      <c r="J53" s="64">
        <f>SUM(J45:J52)</f>
        <v>0</v>
      </c>
      <c r="K53" s="27"/>
      <c r="L53" s="64">
        <f>SUM(L45:L52)</f>
        <v>0</v>
      </c>
      <c r="M53" s="27"/>
      <c r="N53" s="64">
        <f>SUM(N45:N52)</f>
        <v>0</v>
      </c>
      <c r="O53" s="27"/>
      <c r="P53" s="64">
        <f>SUM(P45:P52)</f>
        <v>0</v>
      </c>
      <c r="Q53" s="27"/>
      <c r="R53" s="64">
        <f>SUM(R45:R52)</f>
        <v>0</v>
      </c>
    </row>
    <row r="54" spans="1:18" s="7" customFormat="1" ht="6" hidden="1" customHeight="1" x14ac:dyDescent="0.2"/>
    <row r="55" spans="1:18" s="7" customFormat="1" ht="12.75" customHeight="1" x14ac:dyDescent="0.2">
      <c r="A55" s="68" t="s">
        <v>190</v>
      </c>
      <c r="B55" s="11"/>
      <c r="C55" s="11"/>
    </row>
    <row r="56" spans="1:18" s="7" customFormat="1" ht="12.75" hidden="1" customHeight="1" x14ac:dyDescent="0.2">
      <c r="A56" s="70" t="s">
        <v>90</v>
      </c>
      <c r="B56" s="9"/>
      <c r="C56" s="9"/>
      <c r="E56" s="112">
        <v>1</v>
      </c>
      <c r="F56" s="113" t="s">
        <v>12</v>
      </c>
      <c r="G56" s="112" t="s">
        <v>54</v>
      </c>
      <c r="H56" s="114" t="s">
        <v>10</v>
      </c>
    </row>
    <row r="57" spans="1:18" s="7" customFormat="1" ht="6" customHeight="1" x14ac:dyDescent="0.2">
      <c r="A57" s="70"/>
      <c r="B57" s="9"/>
      <c r="C57" s="9"/>
      <c r="E57" s="112"/>
      <c r="F57" s="113"/>
      <c r="G57" s="112"/>
      <c r="H57" s="114"/>
    </row>
    <row r="58" spans="1:18" s="7" customFormat="1" ht="12.75" customHeight="1" x14ac:dyDescent="0.2">
      <c r="A58" s="86" t="s">
        <v>96</v>
      </c>
      <c r="B58" s="116"/>
      <c r="C58" s="116"/>
      <c r="D58" s="113"/>
      <c r="E58" s="112">
        <v>1</v>
      </c>
      <c r="F58" s="113" t="s">
        <v>93</v>
      </c>
      <c r="G58" s="112" t="s">
        <v>54</v>
      </c>
      <c r="H58" s="112" t="s">
        <v>10</v>
      </c>
      <c r="N58" s="7">
        <f>P58-L58</f>
        <v>9000000</v>
      </c>
      <c r="P58" s="7">
        <v>9000000</v>
      </c>
      <c r="R58" s="36">
        <v>0</v>
      </c>
    </row>
    <row r="59" spans="1:18" s="7" customFormat="1" ht="12.75" customHeight="1" x14ac:dyDescent="0.2">
      <c r="A59" s="86" t="s">
        <v>107</v>
      </c>
      <c r="B59" s="111"/>
      <c r="C59" s="111"/>
      <c r="D59" s="206"/>
      <c r="E59" s="112">
        <v>1</v>
      </c>
      <c r="F59" s="113" t="s">
        <v>93</v>
      </c>
      <c r="G59" s="179">
        <v>99</v>
      </c>
      <c r="H59" s="114" t="s">
        <v>49</v>
      </c>
      <c r="N59" s="7">
        <f>P59-L59</f>
        <v>14000000</v>
      </c>
      <c r="P59" s="7">
        <v>14000000</v>
      </c>
      <c r="R59" s="36">
        <v>0</v>
      </c>
    </row>
    <row r="60" spans="1:18" s="7" customFormat="1" ht="12.75" customHeight="1" x14ac:dyDescent="0.2">
      <c r="A60" s="86" t="s">
        <v>97</v>
      </c>
      <c r="B60" s="111"/>
      <c r="C60" s="111"/>
      <c r="E60" s="112">
        <v>1</v>
      </c>
      <c r="F60" s="113" t="s">
        <v>93</v>
      </c>
      <c r="G60" s="112" t="s">
        <v>93</v>
      </c>
      <c r="H60" s="112" t="s">
        <v>8</v>
      </c>
      <c r="N60" s="7">
        <f>P60-L60</f>
        <v>679000</v>
      </c>
      <c r="P60" s="7">
        <v>679000</v>
      </c>
      <c r="R60" s="36">
        <v>0</v>
      </c>
    </row>
    <row r="61" spans="1:18" s="7" customFormat="1" ht="12.75" hidden="1" customHeight="1" x14ac:dyDescent="0.2">
      <c r="A61" s="86" t="s">
        <v>281</v>
      </c>
      <c r="B61" s="111"/>
      <c r="C61" s="111"/>
      <c r="E61" s="112">
        <v>1</v>
      </c>
      <c r="F61" s="113" t="s">
        <v>93</v>
      </c>
      <c r="G61" s="112" t="s">
        <v>93</v>
      </c>
      <c r="H61" s="112" t="s">
        <v>8</v>
      </c>
      <c r="R61" s="36"/>
    </row>
    <row r="62" spans="1:18" s="7" customFormat="1" ht="12.75" hidden="1" customHeight="1" x14ac:dyDescent="0.2">
      <c r="A62" s="86" t="s">
        <v>98</v>
      </c>
      <c r="B62" s="116"/>
      <c r="C62" s="116"/>
      <c r="E62" s="112">
        <v>1</v>
      </c>
      <c r="F62" s="113" t="s">
        <v>93</v>
      </c>
      <c r="G62" s="112" t="s">
        <v>54</v>
      </c>
      <c r="H62" s="112" t="s">
        <v>15</v>
      </c>
      <c r="R62" s="36"/>
    </row>
    <row r="63" spans="1:18" s="7" customFormat="1" ht="12.75" hidden="1" customHeight="1" x14ac:dyDescent="0.2">
      <c r="A63" s="86" t="s">
        <v>99</v>
      </c>
      <c r="B63" s="116"/>
      <c r="C63" s="116"/>
      <c r="D63" s="113"/>
      <c r="E63" s="112">
        <v>1</v>
      </c>
      <c r="F63" s="113" t="s">
        <v>93</v>
      </c>
      <c r="G63" s="112" t="s">
        <v>93</v>
      </c>
      <c r="H63" s="112" t="s">
        <v>10</v>
      </c>
      <c r="R63" s="36"/>
    </row>
    <row r="64" spans="1:18" s="7" customFormat="1" ht="12.75" hidden="1" customHeight="1" x14ac:dyDescent="0.2">
      <c r="A64" s="86" t="s">
        <v>100</v>
      </c>
      <c r="B64" s="111"/>
      <c r="C64" s="111"/>
      <c r="E64" s="112">
        <v>1</v>
      </c>
      <c r="F64" s="113" t="s">
        <v>93</v>
      </c>
      <c r="G64" s="112" t="s">
        <v>54</v>
      </c>
      <c r="H64" s="112" t="s">
        <v>19</v>
      </c>
      <c r="R64" s="36"/>
    </row>
    <row r="65" spans="1:18" s="7" customFormat="1" ht="12.75" hidden="1" customHeight="1" x14ac:dyDescent="0.2">
      <c r="A65" s="86" t="s">
        <v>175</v>
      </c>
      <c r="B65" s="111"/>
      <c r="C65" s="111"/>
      <c r="E65" s="112">
        <v>1</v>
      </c>
      <c r="F65" s="113" t="s">
        <v>93</v>
      </c>
      <c r="G65" s="112" t="s">
        <v>54</v>
      </c>
      <c r="H65" s="112" t="s">
        <v>82</v>
      </c>
      <c r="R65" s="36"/>
    </row>
    <row r="66" spans="1:18" s="7" customFormat="1" ht="12.75" hidden="1" customHeight="1" x14ac:dyDescent="0.2">
      <c r="A66" s="86" t="s">
        <v>176</v>
      </c>
      <c r="B66" s="111"/>
      <c r="C66" s="111"/>
      <c r="E66" s="112">
        <v>1</v>
      </c>
      <c r="F66" s="113" t="s">
        <v>93</v>
      </c>
      <c r="G66" s="112" t="s">
        <v>54</v>
      </c>
      <c r="H66" s="112" t="s">
        <v>45</v>
      </c>
      <c r="R66" s="36"/>
    </row>
    <row r="67" spans="1:18" s="7" customFormat="1" ht="12.75" customHeight="1" x14ac:dyDescent="0.2">
      <c r="A67" s="86" t="s">
        <v>177</v>
      </c>
      <c r="B67" s="111"/>
      <c r="C67" s="111"/>
      <c r="E67" s="112">
        <v>1</v>
      </c>
      <c r="F67" s="113" t="s">
        <v>93</v>
      </c>
      <c r="G67" s="112" t="s">
        <v>54</v>
      </c>
      <c r="H67" s="112" t="s">
        <v>146</v>
      </c>
      <c r="L67" s="7">
        <v>12737000</v>
      </c>
      <c r="N67" s="7">
        <f>P67-L67</f>
        <v>99860600</v>
      </c>
      <c r="P67" s="7">
        <v>112597600</v>
      </c>
      <c r="R67" s="36"/>
    </row>
    <row r="68" spans="1:18" s="7" customFormat="1" ht="12.75" hidden="1" customHeight="1" x14ac:dyDescent="0.2">
      <c r="A68" s="86" t="s">
        <v>101</v>
      </c>
      <c r="B68" s="111"/>
      <c r="C68" s="111"/>
      <c r="E68" s="112">
        <v>1</v>
      </c>
      <c r="F68" s="113" t="s">
        <v>93</v>
      </c>
      <c r="G68" s="112" t="s">
        <v>54</v>
      </c>
      <c r="H68" s="112" t="s">
        <v>102</v>
      </c>
      <c r="R68" s="36"/>
    </row>
    <row r="69" spans="1:18" s="7" customFormat="1" ht="12.75" hidden="1" customHeight="1" x14ac:dyDescent="0.2">
      <c r="A69" s="86" t="s">
        <v>103</v>
      </c>
      <c r="B69" s="111"/>
      <c r="C69" s="111"/>
      <c r="E69" s="112">
        <v>1</v>
      </c>
      <c r="F69" s="113" t="s">
        <v>93</v>
      </c>
      <c r="G69" s="112" t="s">
        <v>54</v>
      </c>
      <c r="H69" s="112" t="s">
        <v>24</v>
      </c>
      <c r="R69" s="36"/>
    </row>
    <row r="70" spans="1:18" s="7" customFormat="1" ht="12.75" hidden="1" customHeight="1" x14ac:dyDescent="0.2">
      <c r="A70" s="86" t="s">
        <v>104</v>
      </c>
      <c r="B70" s="111"/>
      <c r="C70" s="111"/>
      <c r="E70" s="112">
        <v>1</v>
      </c>
      <c r="F70" s="113" t="s">
        <v>93</v>
      </c>
      <c r="G70" s="112" t="s">
        <v>54</v>
      </c>
      <c r="H70" s="112" t="s">
        <v>28</v>
      </c>
      <c r="R70" s="36"/>
    </row>
    <row r="71" spans="1:18" s="7" customFormat="1" ht="12.75" hidden="1" customHeight="1" x14ac:dyDescent="0.2">
      <c r="A71" s="86" t="s">
        <v>105</v>
      </c>
      <c r="B71" s="111"/>
      <c r="C71" s="111"/>
      <c r="D71" s="113"/>
      <c r="E71" s="112">
        <v>1</v>
      </c>
      <c r="F71" s="113" t="s">
        <v>93</v>
      </c>
      <c r="G71" s="112" t="s">
        <v>54</v>
      </c>
      <c r="H71" s="114" t="s">
        <v>49</v>
      </c>
      <c r="R71" s="36"/>
    </row>
    <row r="72" spans="1:18" s="7" customFormat="1" ht="12.75" hidden="1" customHeight="1" x14ac:dyDescent="0.2">
      <c r="A72" s="86" t="s">
        <v>106</v>
      </c>
      <c r="B72" s="111"/>
      <c r="C72" s="111"/>
      <c r="D72" s="113"/>
      <c r="E72" s="112">
        <v>1</v>
      </c>
      <c r="F72" s="113" t="s">
        <v>93</v>
      </c>
      <c r="G72" s="112" t="s">
        <v>67</v>
      </c>
      <c r="H72" s="112" t="s">
        <v>8</v>
      </c>
      <c r="R72" s="36"/>
    </row>
    <row r="73" spans="1:18" s="7" customFormat="1" ht="12.75" customHeight="1" x14ac:dyDescent="0.2">
      <c r="A73" s="86" t="s">
        <v>107</v>
      </c>
      <c r="B73" s="111"/>
      <c r="C73" s="111"/>
      <c r="D73" s="113"/>
      <c r="E73" s="112">
        <v>1</v>
      </c>
      <c r="F73" s="113" t="s">
        <v>93</v>
      </c>
      <c r="G73" s="112" t="s">
        <v>59</v>
      </c>
      <c r="H73" s="114" t="s">
        <v>49</v>
      </c>
      <c r="L73" s="7">
        <v>1302500</v>
      </c>
      <c r="N73" s="36">
        <f>P73-L73</f>
        <v>0</v>
      </c>
      <c r="P73" s="7">
        <v>1302500</v>
      </c>
      <c r="R73" s="36"/>
    </row>
    <row r="74" spans="1:18" s="7" customFormat="1" ht="12.75" hidden="1" customHeight="1" x14ac:dyDescent="0.2">
      <c r="A74" s="86" t="s">
        <v>178</v>
      </c>
      <c r="B74" s="111"/>
      <c r="C74" s="111"/>
      <c r="D74" s="113"/>
      <c r="E74" s="112">
        <v>1</v>
      </c>
      <c r="F74" s="113" t="s">
        <v>93</v>
      </c>
      <c r="G74" s="112" t="s">
        <v>29</v>
      </c>
      <c r="H74" s="112" t="s">
        <v>8</v>
      </c>
    </row>
    <row r="75" spans="1:18" s="7" customFormat="1" ht="12.75" hidden="1" customHeight="1" x14ac:dyDescent="0.2">
      <c r="A75" s="86" t="s">
        <v>179</v>
      </c>
      <c r="B75" s="111"/>
      <c r="C75" s="111"/>
      <c r="D75" s="113"/>
      <c r="E75" s="112">
        <v>1</v>
      </c>
      <c r="F75" s="113" t="s">
        <v>93</v>
      </c>
      <c r="G75" s="112" t="s">
        <v>29</v>
      </c>
      <c r="H75" s="112" t="s">
        <v>45</v>
      </c>
    </row>
    <row r="76" spans="1:18" s="27" customFormat="1" ht="18.95" customHeight="1" x14ac:dyDescent="0.2">
      <c r="A76" s="63" t="s">
        <v>108</v>
      </c>
      <c r="B76" s="26"/>
      <c r="C76" s="26"/>
      <c r="J76" s="21">
        <f>SUM(J58:J75)</f>
        <v>0</v>
      </c>
      <c r="K76" s="23"/>
      <c r="L76" s="21">
        <f>SUM(L58:L75)</f>
        <v>14039500</v>
      </c>
      <c r="N76" s="21">
        <f>SUM(N58:N71)</f>
        <v>123539600</v>
      </c>
      <c r="P76" s="21">
        <f>SUM(P58:P75)</f>
        <v>137579100</v>
      </c>
      <c r="R76" s="21">
        <f>SUM(R58:R75)</f>
        <v>0</v>
      </c>
    </row>
    <row r="77" spans="1:18" s="7" customFormat="1" ht="6" customHeight="1" x14ac:dyDescent="0.2"/>
    <row r="78" spans="1:18" s="7" customFormat="1" ht="20.100000000000001" customHeight="1" thickBot="1" x14ac:dyDescent="0.25">
      <c r="A78" s="11" t="s">
        <v>110</v>
      </c>
      <c r="B78" s="28"/>
      <c r="C78" s="28"/>
      <c r="J78" s="29">
        <f>J32+J42+J53+J76</f>
        <v>1024774.24</v>
      </c>
      <c r="K78" s="23"/>
      <c r="L78" s="29">
        <f>L32+L42+L53+L76</f>
        <v>39747844.989999995</v>
      </c>
      <c r="N78" s="29">
        <f>N32+N42+N53+N76</f>
        <v>131614438.34999999</v>
      </c>
      <c r="P78" s="29">
        <f>P32+P42+P53+P76</f>
        <v>171362283.34</v>
      </c>
      <c r="R78" s="29">
        <f>R32+R42+R76</f>
        <v>8912610.9400000013</v>
      </c>
    </row>
    <row r="79" spans="1:18" s="7" customFormat="1" ht="13.5" thickTop="1" x14ac:dyDescent="0.2">
      <c r="A79" s="31"/>
      <c r="B79" s="31"/>
      <c r="C79" s="31"/>
      <c r="D79" s="34"/>
      <c r="E79" s="31"/>
      <c r="F79" s="31"/>
      <c r="H79" s="35"/>
      <c r="I79" s="35"/>
      <c r="J79" s="35"/>
      <c r="K79" s="35"/>
      <c r="L79" s="35"/>
      <c r="M79" s="35"/>
    </row>
    <row r="80" spans="1:18" s="7" customFormat="1" x14ac:dyDescent="0.2"/>
    <row r="81" spans="1:18" s="7" customFormat="1" x14ac:dyDescent="0.2"/>
    <row r="82" spans="1:18" x14ac:dyDescent="0.2">
      <c r="A82" s="321" t="s">
        <v>133</v>
      </c>
      <c r="B82" s="321"/>
      <c r="C82" s="321"/>
      <c r="D82" s="33"/>
      <c r="E82" s="32"/>
      <c r="G82" s="31"/>
      <c r="I82" s="31"/>
      <c r="J82" s="321" t="s">
        <v>276</v>
      </c>
      <c r="K82" s="321"/>
      <c r="L82" s="321"/>
      <c r="M82" s="47"/>
      <c r="N82" s="49"/>
      <c r="O82" s="49"/>
      <c r="P82" s="311" t="s">
        <v>135</v>
      </c>
      <c r="Q82" s="311"/>
      <c r="R82" s="311"/>
    </row>
    <row r="83" spans="1:18" x14ac:dyDescent="0.2">
      <c r="A83" s="205"/>
      <c r="B83" s="205"/>
      <c r="C83" s="205"/>
      <c r="D83" s="33"/>
      <c r="E83" s="32"/>
      <c r="G83" s="31"/>
      <c r="I83" s="31"/>
      <c r="J83" s="205"/>
      <c r="K83" s="205"/>
      <c r="L83" s="205"/>
      <c r="M83" s="47"/>
      <c r="N83" s="49"/>
      <c r="O83" s="49"/>
      <c r="P83" s="202"/>
      <c r="Q83" s="202"/>
      <c r="R83" s="202"/>
    </row>
    <row r="84" spans="1:18" x14ac:dyDescent="0.2">
      <c r="A84" s="50"/>
      <c r="D84" s="33"/>
      <c r="E84" s="51"/>
      <c r="G84" s="31"/>
      <c r="I84" s="31"/>
      <c r="J84" s="205"/>
      <c r="M84" s="205"/>
      <c r="N84" s="36"/>
      <c r="O84" s="36"/>
      <c r="P84" s="51"/>
    </row>
    <row r="85" spans="1:18" x14ac:dyDescent="0.2">
      <c r="A85" s="52"/>
      <c r="D85" s="31"/>
      <c r="E85" s="53"/>
      <c r="G85" s="31"/>
      <c r="I85" s="31"/>
      <c r="J85" s="31"/>
      <c r="M85" s="31"/>
      <c r="P85" s="53"/>
    </row>
    <row r="86" spans="1:18" x14ac:dyDescent="0.2">
      <c r="A86" s="322" t="s">
        <v>325</v>
      </c>
      <c r="B86" s="322"/>
      <c r="C86" s="322"/>
      <c r="D86" s="55"/>
      <c r="E86" s="56"/>
      <c r="G86" s="31"/>
      <c r="I86" s="31"/>
      <c r="J86" s="322" t="s">
        <v>291</v>
      </c>
      <c r="K86" s="322"/>
      <c r="L86" s="322"/>
      <c r="M86" s="57"/>
      <c r="N86" s="59"/>
      <c r="O86" s="59"/>
      <c r="P86" s="312" t="s">
        <v>137</v>
      </c>
      <c r="Q86" s="312"/>
      <c r="R86" s="312"/>
    </row>
    <row r="87" spans="1:18" x14ac:dyDescent="0.2">
      <c r="A87" s="321" t="s">
        <v>317</v>
      </c>
      <c r="B87" s="321"/>
      <c r="C87" s="321"/>
      <c r="D87" s="31"/>
      <c r="E87" s="32"/>
      <c r="G87" s="31"/>
      <c r="I87" s="31"/>
      <c r="J87" s="321" t="s">
        <v>269</v>
      </c>
      <c r="K87" s="321"/>
      <c r="L87" s="321"/>
      <c r="M87" s="33"/>
      <c r="N87" s="35"/>
      <c r="O87" s="35"/>
      <c r="P87" s="313" t="s">
        <v>139</v>
      </c>
      <c r="Q87" s="313"/>
      <c r="R87" s="313"/>
    </row>
  </sheetData>
  <mergeCells count="18">
    <mergeCell ref="P82:R82"/>
    <mergeCell ref="A1:S1"/>
    <mergeCell ref="A2:S2"/>
    <mergeCell ref="L9:P9"/>
    <mergeCell ref="P10:P12"/>
    <mergeCell ref="A11:C11"/>
    <mergeCell ref="E11:H11"/>
    <mergeCell ref="A13:C13"/>
    <mergeCell ref="E13:H13"/>
    <mergeCell ref="A42:C42"/>
    <mergeCell ref="A82:C82"/>
    <mergeCell ref="J82:L82"/>
    <mergeCell ref="A86:C86"/>
    <mergeCell ref="J86:L86"/>
    <mergeCell ref="P86:R86"/>
    <mergeCell ref="A87:C87"/>
    <mergeCell ref="J87:L87"/>
    <mergeCell ref="P87:R87"/>
  </mergeCells>
  <printOptions horizontalCentered="1"/>
  <pageMargins left="0.75" right="0.5" top="1" bottom="1" header="0.75" footer="0.5"/>
  <pageSetup paperSize="5" scale="90" orientation="landscape" horizontalDpi="4294967293" verticalDpi="300" r:id="rId1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4" max="1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U128"/>
  <sheetViews>
    <sheetView view="pageBreakPreview" zoomScaleNormal="85" zoomScaleSheetLayoutView="100" workbookViewId="0">
      <pane xSplit="1" ySplit="14" topLeftCell="B119" activePane="bottomRight" state="frozen"/>
      <selection pane="topRight" activeCell="B1" sqref="B1"/>
      <selection pane="bottomLeft" activeCell="A15" sqref="A15"/>
      <selection pane="bottomRight" activeCell="R121" sqref="R12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255</v>
      </c>
      <c r="H4" s="3"/>
      <c r="I4" s="3"/>
      <c r="R4" s="78">
        <v>9940</v>
      </c>
    </row>
    <row r="5" spans="1:19" ht="15" customHeight="1" x14ac:dyDescent="0.2">
      <c r="A5" s="5" t="s">
        <v>119</v>
      </c>
      <c r="B5" s="2" t="s">
        <v>113</v>
      </c>
      <c r="C5" s="5" t="s">
        <v>256</v>
      </c>
    </row>
    <row r="6" spans="1:19" ht="15" customHeight="1" x14ac:dyDescent="0.2">
      <c r="A6" s="5" t="s">
        <v>120</v>
      </c>
      <c r="B6" s="2" t="s">
        <v>113</v>
      </c>
      <c r="C6" s="5" t="s">
        <v>324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04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03"/>
      <c r="B12" s="103"/>
      <c r="C12" s="103"/>
      <c r="D12" s="9"/>
      <c r="E12" s="103"/>
      <c r="F12" s="103"/>
      <c r="G12" s="103"/>
      <c r="H12" s="10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86" t="s">
        <v>37</v>
      </c>
      <c r="B16" s="111"/>
      <c r="C16" s="111"/>
      <c r="D16" s="112"/>
      <c r="E16" s="112">
        <v>5</v>
      </c>
      <c r="F16" s="113" t="s">
        <v>12</v>
      </c>
      <c r="G16" s="112" t="s">
        <v>7</v>
      </c>
      <c r="H16" s="112" t="s">
        <v>8</v>
      </c>
      <c r="N16" s="7">
        <f>P16-L16</f>
        <v>0</v>
      </c>
    </row>
    <row r="17" spans="1:18" s="7" customFormat="1" ht="12.75" hidden="1" customHeight="1" x14ac:dyDescent="0.2">
      <c r="A17" s="86" t="s">
        <v>38</v>
      </c>
      <c r="B17" s="111"/>
      <c r="C17" s="111"/>
      <c r="E17" s="112">
        <v>5</v>
      </c>
      <c r="F17" s="113" t="s">
        <v>12</v>
      </c>
      <c r="G17" s="112" t="s">
        <v>7</v>
      </c>
      <c r="H17" s="112" t="s">
        <v>10</v>
      </c>
    </row>
    <row r="18" spans="1:18" s="7" customFormat="1" ht="6" customHeight="1" x14ac:dyDescent="0.2">
      <c r="A18" s="86"/>
      <c r="B18" s="111"/>
      <c r="C18" s="111"/>
      <c r="E18" s="112"/>
      <c r="F18" s="113"/>
      <c r="G18" s="112"/>
      <c r="H18" s="112"/>
    </row>
    <row r="19" spans="1:18" s="7" customFormat="1" ht="15" customHeight="1" x14ac:dyDescent="0.2">
      <c r="A19" s="86" t="s">
        <v>39</v>
      </c>
      <c r="B19" s="111"/>
      <c r="C19" s="111"/>
      <c r="E19" s="112">
        <v>5</v>
      </c>
      <c r="F19" s="113" t="s">
        <v>12</v>
      </c>
      <c r="G19" s="112" t="s">
        <v>12</v>
      </c>
      <c r="H19" s="112" t="s">
        <v>8</v>
      </c>
      <c r="J19" s="7">
        <v>240000</v>
      </c>
      <c r="L19" s="36"/>
      <c r="N19" s="7">
        <f>P19-L19</f>
        <v>690000</v>
      </c>
      <c r="P19" s="7">
        <v>690000</v>
      </c>
      <c r="R19" s="7">
        <v>110100</v>
      </c>
    </row>
    <row r="20" spans="1:18" s="7" customFormat="1" ht="15" hidden="1" customHeight="1" x14ac:dyDescent="0.2">
      <c r="A20" s="86" t="s">
        <v>142</v>
      </c>
      <c r="B20" s="111"/>
      <c r="C20" s="111"/>
      <c r="D20" s="112"/>
      <c r="E20" s="112">
        <v>5</v>
      </c>
      <c r="F20" s="113" t="s">
        <v>12</v>
      </c>
      <c r="G20" s="112" t="s">
        <v>12</v>
      </c>
      <c r="H20" s="112" t="s">
        <v>10</v>
      </c>
      <c r="N20" s="7">
        <f t="shared" ref="N20:N84" si="0">P20-L20</f>
        <v>0</v>
      </c>
    </row>
    <row r="21" spans="1:18" s="7" customFormat="1" ht="15" hidden="1" customHeight="1" x14ac:dyDescent="0.2">
      <c r="A21" s="86" t="s">
        <v>40</v>
      </c>
      <c r="B21" s="111"/>
      <c r="C21" s="111"/>
      <c r="D21" s="112"/>
      <c r="E21" s="112">
        <v>5</v>
      </c>
      <c r="F21" s="113" t="s">
        <v>12</v>
      </c>
      <c r="G21" s="112" t="s">
        <v>29</v>
      </c>
      <c r="H21" s="112" t="s">
        <v>8</v>
      </c>
      <c r="N21" s="7">
        <f t="shared" si="0"/>
        <v>0</v>
      </c>
    </row>
    <row r="22" spans="1:18" s="7" customFormat="1" ht="15" hidden="1" customHeight="1" x14ac:dyDescent="0.2">
      <c r="A22" s="86" t="s">
        <v>41</v>
      </c>
      <c r="B22" s="111"/>
      <c r="C22" s="111"/>
      <c r="D22" s="112"/>
      <c r="E22" s="112">
        <v>5</v>
      </c>
      <c r="F22" s="113" t="s">
        <v>12</v>
      </c>
      <c r="G22" s="112" t="s">
        <v>29</v>
      </c>
      <c r="H22" s="112" t="s">
        <v>10</v>
      </c>
      <c r="N22" s="7">
        <f t="shared" si="0"/>
        <v>0</v>
      </c>
    </row>
    <row r="23" spans="1:18" s="7" customFormat="1" ht="15" hidden="1" customHeight="1" x14ac:dyDescent="0.2">
      <c r="A23" s="86" t="s">
        <v>42</v>
      </c>
      <c r="B23" s="111"/>
      <c r="C23" s="111"/>
      <c r="D23" s="112"/>
      <c r="E23" s="112">
        <v>5</v>
      </c>
      <c r="F23" s="113" t="s">
        <v>12</v>
      </c>
      <c r="G23" s="112" t="s">
        <v>29</v>
      </c>
      <c r="H23" s="112" t="s">
        <v>17</v>
      </c>
      <c r="N23" s="7">
        <f t="shared" si="0"/>
        <v>0</v>
      </c>
    </row>
    <row r="24" spans="1:18" s="7" customFormat="1" ht="15" hidden="1" customHeight="1" x14ac:dyDescent="0.2">
      <c r="A24" s="86" t="s">
        <v>43</v>
      </c>
      <c r="B24" s="111"/>
      <c r="C24" s="111"/>
      <c r="D24" s="112"/>
      <c r="E24" s="112">
        <v>5</v>
      </c>
      <c r="F24" s="113" t="s">
        <v>12</v>
      </c>
      <c r="G24" s="112" t="s">
        <v>29</v>
      </c>
      <c r="H24" s="112" t="s">
        <v>64</v>
      </c>
      <c r="N24" s="7">
        <f t="shared" si="0"/>
        <v>0</v>
      </c>
    </row>
    <row r="25" spans="1:18" s="7" customFormat="1" ht="15" hidden="1" customHeight="1" x14ac:dyDescent="0.2">
      <c r="A25" s="86" t="s">
        <v>88</v>
      </c>
      <c r="B25" s="111"/>
      <c r="C25" s="111"/>
      <c r="E25" s="112">
        <v>5</v>
      </c>
      <c r="F25" s="113" t="s">
        <v>12</v>
      </c>
      <c r="G25" s="112" t="s">
        <v>29</v>
      </c>
      <c r="H25" s="112" t="s">
        <v>60</v>
      </c>
      <c r="N25" s="7">
        <f t="shared" si="0"/>
        <v>0</v>
      </c>
    </row>
    <row r="26" spans="1:18" s="7" customFormat="1" ht="15" customHeight="1" x14ac:dyDescent="0.2">
      <c r="A26" s="86" t="s">
        <v>88</v>
      </c>
      <c r="B26" s="111"/>
      <c r="C26" s="111"/>
      <c r="E26" s="112">
        <v>5</v>
      </c>
      <c r="F26" s="113" t="s">
        <v>12</v>
      </c>
      <c r="G26" s="114" t="s">
        <v>29</v>
      </c>
      <c r="H26" s="114" t="s">
        <v>60</v>
      </c>
      <c r="J26" s="36">
        <v>1000000</v>
      </c>
      <c r="K26" s="36"/>
      <c r="L26" s="36">
        <v>31602610</v>
      </c>
      <c r="M26" s="36"/>
      <c r="N26" s="36">
        <f>P26-L26</f>
        <v>16343732.210000001</v>
      </c>
      <c r="O26" s="36"/>
      <c r="P26" s="36">
        <v>47946342.210000001</v>
      </c>
      <c r="Q26" s="36"/>
      <c r="R26" s="36">
        <v>46808057.740000002</v>
      </c>
    </row>
    <row r="27" spans="1:18" s="7" customFormat="1" ht="15" customHeight="1" x14ac:dyDescent="0.2">
      <c r="A27" s="86" t="s">
        <v>150</v>
      </c>
      <c r="B27" s="111"/>
      <c r="C27" s="111"/>
      <c r="D27" s="112"/>
      <c r="E27" s="112">
        <v>5</v>
      </c>
      <c r="F27" s="113" t="s">
        <v>12</v>
      </c>
      <c r="G27" s="112" t="s">
        <v>29</v>
      </c>
      <c r="H27" s="112" t="s">
        <v>19</v>
      </c>
      <c r="J27" s="39">
        <v>1000000</v>
      </c>
      <c r="K27" s="39"/>
      <c r="L27" s="36"/>
      <c r="M27" s="36"/>
      <c r="N27" s="36">
        <f t="shared" si="0"/>
        <v>3025746.21</v>
      </c>
      <c r="O27" s="36"/>
      <c r="P27" s="36">
        <v>3025746.21</v>
      </c>
      <c r="Q27" s="36"/>
      <c r="R27" s="36">
        <f>12900000+20000000+11500000</f>
        <v>44400000</v>
      </c>
    </row>
    <row r="28" spans="1:18" s="7" customFormat="1" ht="15" hidden="1" customHeight="1" x14ac:dyDescent="0.2">
      <c r="A28" s="86" t="s">
        <v>151</v>
      </c>
      <c r="B28" s="111"/>
      <c r="C28" s="111"/>
      <c r="D28" s="112"/>
      <c r="E28" s="112">
        <v>5</v>
      </c>
      <c r="F28" s="113" t="s">
        <v>12</v>
      </c>
      <c r="G28" s="112" t="s">
        <v>29</v>
      </c>
      <c r="H28" s="112" t="s">
        <v>82</v>
      </c>
      <c r="J28" s="39"/>
      <c r="K28" s="39"/>
      <c r="L28" s="36"/>
      <c r="M28" s="36"/>
      <c r="N28" s="36">
        <f t="shared" si="0"/>
        <v>0</v>
      </c>
      <c r="O28" s="36"/>
      <c r="P28" s="36"/>
      <c r="Q28" s="36"/>
      <c r="R28" s="36"/>
    </row>
    <row r="29" spans="1:18" s="7" customFormat="1" ht="15" hidden="1" customHeight="1" x14ac:dyDescent="0.2">
      <c r="A29" s="86" t="s">
        <v>44</v>
      </c>
      <c r="B29" s="111"/>
      <c r="C29" s="111"/>
      <c r="D29" s="112"/>
      <c r="E29" s="112">
        <v>5</v>
      </c>
      <c r="F29" s="113" t="s">
        <v>12</v>
      </c>
      <c r="G29" s="112" t="s">
        <v>29</v>
      </c>
      <c r="H29" s="112" t="s">
        <v>45</v>
      </c>
      <c r="J29" s="39"/>
      <c r="K29" s="39"/>
      <c r="L29" s="36"/>
      <c r="M29" s="36"/>
      <c r="N29" s="36">
        <f t="shared" si="0"/>
        <v>0</v>
      </c>
      <c r="O29" s="36"/>
      <c r="P29" s="36"/>
      <c r="Q29" s="36"/>
      <c r="R29" s="36"/>
    </row>
    <row r="30" spans="1:18" s="7" customFormat="1" ht="15" hidden="1" customHeight="1" x14ac:dyDescent="0.2">
      <c r="A30" s="86" t="s">
        <v>152</v>
      </c>
      <c r="B30" s="111"/>
      <c r="C30" s="111"/>
      <c r="D30" s="112"/>
      <c r="E30" s="112">
        <v>5</v>
      </c>
      <c r="F30" s="113" t="s">
        <v>12</v>
      </c>
      <c r="G30" s="112" t="s">
        <v>29</v>
      </c>
      <c r="H30" s="112" t="s">
        <v>102</v>
      </c>
      <c r="J30" s="36"/>
      <c r="K30" s="36"/>
      <c r="L30" s="36"/>
      <c r="M30" s="36"/>
      <c r="N30" s="36">
        <f t="shared" si="0"/>
        <v>0</v>
      </c>
      <c r="O30" s="36"/>
      <c r="P30" s="36"/>
      <c r="Q30" s="36"/>
      <c r="R30" s="36"/>
    </row>
    <row r="31" spans="1:18" s="7" customFormat="1" ht="15" hidden="1" customHeight="1" x14ac:dyDescent="0.2">
      <c r="A31" s="86" t="s">
        <v>153</v>
      </c>
      <c r="B31" s="111"/>
      <c r="C31" s="111"/>
      <c r="D31" s="112"/>
      <c r="E31" s="112">
        <v>5</v>
      </c>
      <c r="F31" s="113" t="s">
        <v>12</v>
      </c>
      <c r="G31" s="112" t="s">
        <v>29</v>
      </c>
      <c r="H31" s="112" t="s">
        <v>146</v>
      </c>
      <c r="J31" s="36"/>
      <c r="K31" s="36"/>
      <c r="L31" s="36"/>
      <c r="M31" s="36"/>
      <c r="N31" s="36">
        <f t="shared" si="0"/>
        <v>0</v>
      </c>
      <c r="O31" s="36"/>
      <c r="P31" s="36"/>
      <c r="Q31" s="36"/>
      <c r="R31" s="36"/>
    </row>
    <row r="32" spans="1:18" s="7" customFormat="1" ht="15" hidden="1" customHeight="1" x14ac:dyDescent="0.2">
      <c r="A32" s="86" t="s">
        <v>46</v>
      </c>
      <c r="B32" s="111"/>
      <c r="C32" s="111"/>
      <c r="D32" s="112"/>
      <c r="E32" s="112">
        <v>5</v>
      </c>
      <c r="F32" s="113" t="s">
        <v>12</v>
      </c>
      <c r="G32" s="112" t="s">
        <v>29</v>
      </c>
      <c r="H32" s="112" t="s">
        <v>47</v>
      </c>
      <c r="J32" s="36"/>
      <c r="K32" s="36"/>
      <c r="L32" s="36"/>
      <c r="M32" s="36"/>
      <c r="N32" s="36">
        <f t="shared" si="0"/>
        <v>0</v>
      </c>
      <c r="O32" s="36"/>
      <c r="P32" s="36"/>
      <c r="Q32" s="36"/>
      <c r="R32" s="36"/>
    </row>
    <row r="33" spans="1:21" s="7" customFormat="1" ht="15" hidden="1" customHeight="1" x14ac:dyDescent="0.2">
      <c r="A33" s="86" t="s">
        <v>154</v>
      </c>
      <c r="B33" s="111"/>
      <c r="C33" s="111"/>
      <c r="E33" s="112">
        <v>5</v>
      </c>
      <c r="F33" s="113" t="s">
        <v>12</v>
      </c>
      <c r="G33" s="112" t="s">
        <v>29</v>
      </c>
      <c r="H33" s="112" t="s">
        <v>15</v>
      </c>
      <c r="J33" s="36"/>
      <c r="K33" s="36"/>
      <c r="L33" s="36"/>
      <c r="M33" s="36"/>
      <c r="N33" s="36">
        <f t="shared" si="0"/>
        <v>0</v>
      </c>
      <c r="O33" s="36"/>
      <c r="P33" s="36"/>
      <c r="Q33" s="36"/>
      <c r="R33" s="36"/>
    </row>
    <row r="34" spans="1:21" s="7" customFormat="1" ht="15" hidden="1" customHeight="1" x14ac:dyDescent="0.2">
      <c r="A34" s="86" t="s">
        <v>51</v>
      </c>
      <c r="B34" s="111"/>
      <c r="C34" s="111"/>
      <c r="D34" s="112"/>
      <c r="E34" s="112">
        <v>5</v>
      </c>
      <c r="F34" s="113" t="s">
        <v>12</v>
      </c>
      <c r="G34" s="112" t="s">
        <v>29</v>
      </c>
      <c r="H34" s="112" t="s">
        <v>24</v>
      </c>
      <c r="J34" s="36"/>
      <c r="K34" s="36"/>
      <c r="L34" s="36"/>
      <c r="M34" s="36"/>
      <c r="N34" s="36">
        <f t="shared" si="0"/>
        <v>0</v>
      </c>
      <c r="O34" s="36"/>
      <c r="P34" s="36"/>
      <c r="Q34" s="36"/>
      <c r="R34" s="36"/>
    </row>
    <row r="35" spans="1:21" s="7" customFormat="1" ht="14.1" customHeight="1" x14ac:dyDescent="0.2">
      <c r="A35" s="86" t="s">
        <v>151</v>
      </c>
      <c r="B35" s="111"/>
      <c r="C35" s="111"/>
      <c r="D35" s="112"/>
      <c r="E35" s="112">
        <v>5</v>
      </c>
      <c r="F35" s="113" t="s">
        <v>12</v>
      </c>
      <c r="G35" s="112" t="s">
        <v>29</v>
      </c>
      <c r="H35" s="112" t="s">
        <v>82</v>
      </c>
      <c r="J35" s="39">
        <v>3899121.3</v>
      </c>
      <c r="K35" s="39"/>
      <c r="L35" s="36"/>
      <c r="M35" s="36"/>
      <c r="N35" s="36">
        <f t="shared" si="0"/>
        <v>5500000</v>
      </c>
      <c r="O35" s="36"/>
      <c r="P35" s="36">
        <v>5500000</v>
      </c>
      <c r="Q35" s="36"/>
      <c r="R35" s="36">
        <v>13538903.470000001</v>
      </c>
      <c r="T35" s="7">
        <f>P35*0.2</f>
        <v>1100000</v>
      </c>
      <c r="U35" s="7">
        <f>P35+T35</f>
        <v>6600000</v>
      </c>
    </row>
    <row r="36" spans="1:21" s="7" customFormat="1" ht="15" customHeight="1" x14ac:dyDescent="0.2">
      <c r="A36" s="86" t="s">
        <v>48</v>
      </c>
      <c r="B36" s="111"/>
      <c r="C36" s="111"/>
      <c r="E36" s="112">
        <v>5</v>
      </c>
      <c r="F36" s="113" t="s">
        <v>12</v>
      </c>
      <c r="G36" s="112" t="s">
        <v>29</v>
      </c>
      <c r="H36" s="114" t="s">
        <v>49</v>
      </c>
      <c r="J36" s="36">
        <v>500000</v>
      </c>
      <c r="K36" s="36"/>
      <c r="L36" s="36">
        <v>1083285.75</v>
      </c>
      <c r="M36" s="36"/>
      <c r="N36" s="36">
        <f>P36-L36</f>
        <v>5842460.46</v>
      </c>
      <c r="O36" s="36"/>
      <c r="P36" s="36">
        <v>6925746.21</v>
      </c>
      <c r="Q36" s="36"/>
      <c r="R36" s="36">
        <v>13143000</v>
      </c>
    </row>
    <row r="37" spans="1:21" s="7" customFormat="1" ht="15" hidden="1" customHeight="1" x14ac:dyDescent="0.2">
      <c r="A37" s="86" t="s">
        <v>50</v>
      </c>
      <c r="B37" s="111"/>
      <c r="C37" s="111"/>
      <c r="D37" s="112"/>
      <c r="E37" s="112">
        <v>5</v>
      </c>
      <c r="F37" s="113" t="s">
        <v>12</v>
      </c>
      <c r="G37" s="112" t="s">
        <v>34</v>
      </c>
      <c r="H37" s="112" t="s">
        <v>8</v>
      </c>
      <c r="J37" s="36"/>
      <c r="K37" s="36"/>
      <c r="L37" s="36"/>
      <c r="M37" s="36"/>
      <c r="N37" s="36">
        <f t="shared" si="0"/>
        <v>0</v>
      </c>
      <c r="O37" s="36"/>
      <c r="P37" s="36"/>
      <c r="Q37" s="36"/>
      <c r="R37" s="36"/>
    </row>
    <row r="38" spans="1:21" s="7" customFormat="1" ht="15" hidden="1" customHeight="1" x14ac:dyDescent="0.2">
      <c r="A38" s="86" t="s">
        <v>52</v>
      </c>
      <c r="B38" s="111"/>
      <c r="C38" s="111"/>
      <c r="D38" s="112"/>
      <c r="E38" s="112">
        <v>5</v>
      </c>
      <c r="F38" s="113" t="s">
        <v>12</v>
      </c>
      <c r="G38" s="112" t="s">
        <v>34</v>
      </c>
      <c r="H38" s="112" t="s">
        <v>10</v>
      </c>
      <c r="J38" s="36"/>
      <c r="K38" s="36"/>
      <c r="L38" s="36"/>
      <c r="M38" s="36"/>
      <c r="N38" s="36">
        <f t="shared" si="0"/>
        <v>0</v>
      </c>
      <c r="O38" s="36"/>
      <c r="P38" s="36"/>
      <c r="Q38" s="36"/>
      <c r="R38" s="36"/>
    </row>
    <row r="39" spans="1:21" s="7" customFormat="1" ht="15" hidden="1" customHeight="1" x14ac:dyDescent="0.2">
      <c r="A39" s="86" t="s">
        <v>48</v>
      </c>
      <c r="B39" s="111"/>
      <c r="C39" s="111"/>
      <c r="D39" s="112"/>
      <c r="E39" s="112">
        <v>5</v>
      </c>
      <c r="F39" s="113" t="s">
        <v>12</v>
      </c>
      <c r="G39" s="112" t="s">
        <v>29</v>
      </c>
      <c r="H39" s="114" t="s">
        <v>49</v>
      </c>
      <c r="J39" s="36"/>
      <c r="K39" s="36"/>
      <c r="L39" s="36"/>
      <c r="M39" s="36"/>
      <c r="N39" s="36">
        <f t="shared" si="0"/>
        <v>0</v>
      </c>
      <c r="O39" s="36"/>
      <c r="P39" s="36"/>
      <c r="Q39" s="36"/>
      <c r="R39" s="36"/>
    </row>
    <row r="40" spans="1:21" s="7" customFormat="1" ht="15" hidden="1" customHeight="1" x14ac:dyDescent="0.2">
      <c r="A40" s="86" t="s">
        <v>53</v>
      </c>
      <c r="B40" s="111"/>
      <c r="C40" s="111"/>
      <c r="E40" s="112">
        <v>5</v>
      </c>
      <c r="F40" s="113" t="s">
        <v>12</v>
      </c>
      <c r="G40" s="112" t="s">
        <v>54</v>
      </c>
      <c r="H40" s="112" t="s">
        <v>8</v>
      </c>
      <c r="J40" s="36"/>
      <c r="K40" s="36"/>
      <c r="L40" s="36"/>
      <c r="M40" s="36"/>
      <c r="N40" s="36">
        <f t="shared" si="0"/>
        <v>0</v>
      </c>
      <c r="O40" s="36"/>
      <c r="P40" s="36"/>
      <c r="Q40" s="36"/>
      <c r="R40" s="36"/>
    </row>
    <row r="41" spans="1:21" s="7" customFormat="1" ht="15" hidden="1" customHeight="1" x14ac:dyDescent="0.2">
      <c r="A41" s="86" t="s">
        <v>55</v>
      </c>
      <c r="B41" s="111"/>
      <c r="C41" s="111"/>
      <c r="E41" s="112">
        <v>5</v>
      </c>
      <c r="F41" s="113" t="s">
        <v>12</v>
      </c>
      <c r="G41" s="112" t="s">
        <v>54</v>
      </c>
      <c r="H41" s="112" t="s">
        <v>10</v>
      </c>
      <c r="J41" s="36"/>
      <c r="K41" s="36"/>
      <c r="L41" s="36"/>
      <c r="M41" s="36"/>
      <c r="N41" s="36">
        <f t="shared" si="0"/>
        <v>0</v>
      </c>
      <c r="O41" s="36"/>
      <c r="P41" s="36"/>
      <c r="Q41" s="36"/>
      <c r="R41" s="36"/>
    </row>
    <row r="42" spans="1:21" s="7" customFormat="1" ht="15" hidden="1" customHeight="1" x14ac:dyDescent="0.2">
      <c r="A42" s="86" t="s">
        <v>56</v>
      </c>
      <c r="B42" s="111"/>
      <c r="C42" s="111"/>
      <c r="E42" s="112">
        <v>5</v>
      </c>
      <c r="F42" s="113" t="s">
        <v>12</v>
      </c>
      <c r="G42" s="112" t="s">
        <v>54</v>
      </c>
      <c r="H42" s="112" t="s">
        <v>15</v>
      </c>
      <c r="J42" s="36"/>
      <c r="K42" s="36"/>
      <c r="L42" s="36"/>
      <c r="M42" s="36"/>
      <c r="N42" s="36">
        <f t="shared" si="0"/>
        <v>0</v>
      </c>
      <c r="O42" s="36"/>
      <c r="P42" s="36"/>
      <c r="Q42" s="36"/>
      <c r="R42" s="36"/>
    </row>
    <row r="43" spans="1:21" s="7" customFormat="1" ht="15" hidden="1" customHeight="1" x14ac:dyDescent="0.2">
      <c r="A43" s="86" t="s">
        <v>57</v>
      </c>
      <c r="B43" s="111"/>
      <c r="C43" s="111"/>
      <c r="E43" s="112">
        <v>5</v>
      </c>
      <c r="F43" s="113" t="s">
        <v>12</v>
      </c>
      <c r="G43" s="112" t="s">
        <v>54</v>
      </c>
      <c r="H43" s="112" t="s">
        <v>17</v>
      </c>
      <c r="J43" s="36"/>
      <c r="K43" s="36"/>
      <c r="L43" s="36"/>
      <c r="M43" s="36"/>
      <c r="N43" s="36">
        <f t="shared" si="0"/>
        <v>0</v>
      </c>
      <c r="O43" s="36"/>
      <c r="P43" s="36"/>
      <c r="Q43" s="36"/>
      <c r="R43" s="36"/>
    </row>
    <row r="44" spans="1:21" s="7" customFormat="1" ht="15" hidden="1" customHeight="1" x14ac:dyDescent="0.2">
      <c r="A44" s="86" t="s">
        <v>58</v>
      </c>
      <c r="B44" s="111"/>
      <c r="C44" s="111"/>
      <c r="E44" s="112">
        <v>5</v>
      </c>
      <c r="F44" s="112" t="s">
        <v>12</v>
      </c>
      <c r="G44" s="112" t="s">
        <v>59</v>
      </c>
      <c r="H44" s="112" t="s">
        <v>60</v>
      </c>
      <c r="J44" s="36"/>
      <c r="K44" s="36"/>
      <c r="L44" s="36"/>
      <c r="M44" s="36"/>
      <c r="N44" s="36">
        <f t="shared" si="0"/>
        <v>0</v>
      </c>
      <c r="O44" s="36"/>
      <c r="P44" s="36"/>
      <c r="Q44" s="36"/>
      <c r="R44" s="36"/>
    </row>
    <row r="45" spans="1:21" s="7" customFormat="1" ht="15" hidden="1" customHeight="1" x14ac:dyDescent="0.2">
      <c r="A45" s="86" t="s">
        <v>66</v>
      </c>
      <c r="B45" s="111"/>
      <c r="C45" s="111"/>
      <c r="E45" s="112">
        <v>5</v>
      </c>
      <c r="F45" s="113" t="s">
        <v>12</v>
      </c>
      <c r="G45" s="112" t="s">
        <v>67</v>
      </c>
      <c r="H45" s="112" t="s">
        <v>8</v>
      </c>
      <c r="J45" s="36"/>
      <c r="K45" s="36"/>
      <c r="L45" s="36"/>
      <c r="M45" s="36"/>
      <c r="N45" s="36">
        <f t="shared" si="0"/>
        <v>0</v>
      </c>
      <c r="O45" s="36"/>
      <c r="P45" s="36"/>
      <c r="Q45" s="36"/>
      <c r="R45" s="36"/>
    </row>
    <row r="46" spans="1:21" s="7" customFormat="1" ht="15" hidden="1" customHeight="1" x14ac:dyDescent="0.2">
      <c r="A46" s="86" t="s">
        <v>61</v>
      </c>
      <c r="B46" s="111"/>
      <c r="C46" s="111"/>
      <c r="E46" s="112">
        <v>5</v>
      </c>
      <c r="F46" s="113" t="s">
        <v>12</v>
      </c>
      <c r="G46" s="112" t="s">
        <v>59</v>
      </c>
      <c r="H46" s="112" t="s">
        <v>8</v>
      </c>
      <c r="J46" s="36"/>
      <c r="K46" s="36"/>
      <c r="L46" s="36"/>
      <c r="M46" s="36"/>
      <c r="N46" s="36">
        <f t="shared" si="0"/>
        <v>0</v>
      </c>
      <c r="O46" s="36"/>
      <c r="P46" s="36"/>
      <c r="Q46" s="36"/>
      <c r="R46" s="36"/>
    </row>
    <row r="47" spans="1:21" s="7" customFormat="1" ht="15" hidden="1" customHeight="1" x14ac:dyDescent="0.2">
      <c r="A47" s="86" t="s">
        <v>62</v>
      </c>
      <c r="B47" s="111"/>
      <c r="C47" s="111"/>
      <c r="E47" s="112">
        <v>5</v>
      </c>
      <c r="F47" s="113" t="s">
        <v>12</v>
      </c>
      <c r="G47" s="112" t="s">
        <v>59</v>
      </c>
      <c r="H47" s="112" t="s">
        <v>10</v>
      </c>
      <c r="J47" s="36"/>
      <c r="K47" s="36"/>
      <c r="L47" s="36"/>
      <c r="M47" s="36"/>
      <c r="N47" s="36">
        <f t="shared" si="0"/>
        <v>0</v>
      </c>
      <c r="O47" s="36"/>
      <c r="P47" s="36"/>
      <c r="Q47" s="36"/>
      <c r="R47" s="36"/>
    </row>
    <row r="48" spans="1:21" s="7" customFormat="1" ht="15" hidden="1" customHeight="1" x14ac:dyDescent="0.2">
      <c r="A48" s="86" t="s">
        <v>63</v>
      </c>
      <c r="B48" s="111"/>
      <c r="C48" s="111"/>
      <c r="E48" s="112">
        <v>5</v>
      </c>
      <c r="F48" s="113" t="s">
        <v>12</v>
      </c>
      <c r="G48" s="112" t="s">
        <v>59</v>
      </c>
      <c r="H48" s="112" t="s">
        <v>64</v>
      </c>
      <c r="J48" s="36"/>
      <c r="K48" s="36"/>
      <c r="L48" s="36"/>
      <c r="M48" s="36"/>
      <c r="N48" s="36">
        <f t="shared" si="0"/>
        <v>0</v>
      </c>
      <c r="O48" s="36"/>
      <c r="P48" s="36"/>
      <c r="Q48" s="36"/>
      <c r="R48" s="36"/>
    </row>
    <row r="49" spans="1:18" s="7" customFormat="1" ht="15" hidden="1" customHeight="1" x14ac:dyDescent="0.2">
      <c r="A49" s="86" t="s">
        <v>155</v>
      </c>
      <c r="B49" s="111"/>
      <c r="C49" s="111"/>
      <c r="E49" s="112">
        <v>5</v>
      </c>
      <c r="F49" s="113" t="s">
        <v>12</v>
      </c>
      <c r="G49" s="112" t="s">
        <v>59</v>
      </c>
      <c r="H49" s="112" t="s">
        <v>15</v>
      </c>
      <c r="J49" s="36"/>
      <c r="K49" s="36"/>
      <c r="L49" s="36"/>
      <c r="M49" s="36"/>
      <c r="N49" s="36">
        <f t="shared" si="0"/>
        <v>0</v>
      </c>
      <c r="O49" s="36"/>
      <c r="P49" s="36"/>
      <c r="Q49" s="36"/>
      <c r="R49" s="36"/>
    </row>
    <row r="50" spans="1:18" s="7" customFormat="1" ht="15" hidden="1" customHeight="1" x14ac:dyDescent="0.2">
      <c r="A50" s="86" t="s">
        <v>156</v>
      </c>
      <c r="B50" s="111"/>
      <c r="C50" s="111"/>
      <c r="E50" s="112">
        <v>5</v>
      </c>
      <c r="F50" s="112" t="s">
        <v>12</v>
      </c>
      <c r="G50" s="112" t="s">
        <v>59</v>
      </c>
      <c r="H50" s="112" t="s">
        <v>17</v>
      </c>
      <c r="J50" s="36"/>
      <c r="K50" s="36"/>
      <c r="L50" s="36"/>
      <c r="M50" s="36"/>
      <c r="N50" s="36">
        <f t="shared" si="0"/>
        <v>0</v>
      </c>
      <c r="O50" s="36"/>
      <c r="P50" s="36"/>
      <c r="Q50" s="36"/>
      <c r="R50" s="36"/>
    </row>
    <row r="51" spans="1:18" s="7" customFormat="1" ht="15" hidden="1" customHeight="1" x14ac:dyDescent="0.2">
      <c r="A51" s="86" t="s">
        <v>63</v>
      </c>
      <c r="B51" s="111"/>
      <c r="C51" s="111"/>
      <c r="E51" s="112">
        <v>5</v>
      </c>
      <c r="F51" s="113" t="s">
        <v>12</v>
      </c>
      <c r="G51" s="112" t="s">
        <v>59</v>
      </c>
      <c r="H51" s="112" t="s">
        <v>64</v>
      </c>
      <c r="J51" s="36"/>
      <c r="K51" s="36"/>
      <c r="L51" s="36"/>
      <c r="M51" s="36"/>
      <c r="N51" s="36">
        <f t="shared" si="0"/>
        <v>0</v>
      </c>
      <c r="O51" s="36"/>
      <c r="P51" s="36"/>
      <c r="Q51" s="36"/>
      <c r="R51" s="36"/>
    </row>
    <row r="52" spans="1:18" s="7" customFormat="1" ht="15" hidden="1" customHeight="1" x14ac:dyDescent="0.2">
      <c r="A52" s="86" t="s">
        <v>65</v>
      </c>
      <c r="B52" s="111"/>
      <c r="C52" s="111"/>
      <c r="E52" s="112">
        <v>5</v>
      </c>
      <c r="F52" s="113" t="s">
        <v>12</v>
      </c>
      <c r="G52" s="112" t="s">
        <v>59</v>
      </c>
      <c r="H52" s="112" t="s">
        <v>19</v>
      </c>
      <c r="J52" s="36"/>
      <c r="K52" s="36"/>
      <c r="L52" s="36"/>
      <c r="M52" s="36"/>
      <c r="N52" s="36">
        <f t="shared" si="0"/>
        <v>0</v>
      </c>
      <c r="O52" s="36"/>
      <c r="P52" s="36"/>
      <c r="Q52" s="36"/>
      <c r="R52" s="36"/>
    </row>
    <row r="53" spans="1:18" s="7" customFormat="1" ht="15" hidden="1" customHeight="1" x14ac:dyDescent="0.2">
      <c r="A53" s="86" t="s">
        <v>157</v>
      </c>
      <c r="B53" s="111"/>
      <c r="C53" s="111"/>
      <c r="E53" s="112">
        <v>5</v>
      </c>
      <c r="F53" s="113" t="s">
        <v>12</v>
      </c>
      <c r="G53" s="112" t="s">
        <v>93</v>
      </c>
      <c r="H53" s="112" t="s">
        <v>8</v>
      </c>
      <c r="J53" s="36"/>
      <c r="K53" s="36"/>
      <c r="L53" s="36"/>
      <c r="M53" s="36"/>
      <c r="N53" s="36">
        <f t="shared" si="0"/>
        <v>0</v>
      </c>
      <c r="O53" s="36"/>
      <c r="P53" s="36"/>
      <c r="Q53" s="36"/>
      <c r="R53" s="36"/>
    </row>
    <row r="54" spans="1:18" s="7" customFormat="1" ht="15" hidden="1" customHeight="1" x14ac:dyDescent="0.2">
      <c r="A54" s="86" t="s">
        <v>66</v>
      </c>
      <c r="B54" s="111"/>
      <c r="C54" s="111"/>
      <c r="E54" s="112">
        <v>5</v>
      </c>
      <c r="F54" s="113" t="s">
        <v>12</v>
      </c>
      <c r="G54" s="112" t="s">
        <v>67</v>
      </c>
      <c r="H54" s="112" t="s">
        <v>8</v>
      </c>
      <c r="J54" s="36"/>
      <c r="K54" s="36"/>
      <c r="L54" s="36"/>
      <c r="M54" s="36"/>
      <c r="N54" s="36">
        <f t="shared" si="0"/>
        <v>0</v>
      </c>
      <c r="O54" s="36"/>
      <c r="P54" s="36"/>
      <c r="Q54" s="36"/>
      <c r="R54" s="36"/>
    </row>
    <row r="55" spans="1:18" s="7" customFormat="1" ht="15" hidden="1" customHeight="1" x14ac:dyDescent="0.2">
      <c r="A55" s="86" t="s">
        <v>68</v>
      </c>
      <c r="B55" s="111"/>
      <c r="C55" s="111"/>
      <c r="E55" s="112">
        <v>5</v>
      </c>
      <c r="F55" s="113" t="s">
        <v>12</v>
      </c>
      <c r="G55" s="112" t="s">
        <v>67</v>
      </c>
      <c r="H55" s="112" t="s">
        <v>10</v>
      </c>
      <c r="J55" s="36"/>
      <c r="K55" s="36"/>
      <c r="L55" s="36"/>
      <c r="M55" s="36"/>
      <c r="N55" s="36">
        <f t="shared" si="0"/>
        <v>0</v>
      </c>
      <c r="O55" s="36"/>
      <c r="P55" s="36"/>
      <c r="Q55" s="36"/>
      <c r="R55" s="36"/>
    </row>
    <row r="56" spans="1:18" s="7" customFormat="1" ht="15" hidden="1" customHeight="1" x14ac:dyDescent="0.2">
      <c r="A56" s="86" t="s">
        <v>158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8</v>
      </c>
      <c r="J56" s="36"/>
      <c r="K56" s="36"/>
      <c r="L56" s="36"/>
      <c r="M56" s="36"/>
      <c r="N56" s="36">
        <f t="shared" si="0"/>
        <v>0</v>
      </c>
      <c r="O56" s="36"/>
      <c r="P56" s="36"/>
      <c r="Q56" s="36"/>
      <c r="R56" s="36"/>
    </row>
    <row r="57" spans="1:18" s="7" customFormat="1" ht="15" hidden="1" customHeight="1" x14ac:dyDescent="0.2">
      <c r="A57" s="86" t="s">
        <v>159</v>
      </c>
      <c r="B57" s="111"/>
      <c r="C57" s="111"/>
      <c r="E57" s="112">
        <v>5</v>
      </c>
      <c r="F57" s="113" t="s">
        <v>12</v>
      </c>
      <c r="G57" s="112" t="s">
        <v>70</v>
      </c>
      <c r="H57" s="112" t="s">
        <v>10</v>
      </c>
      <c r="J57" s="36"/>
      <c r="K57" s="36"/>
      <c r="L57" s="36"/>
      <c r="M57" s="36"/>
      <c r="N57" s="36">
        <f t="shared" si="0"/>
        <v>0</v>
      </c>
      <c r="O57" s="36"/>
      <c r="P57" s="36"/>
      <c r="Q57" s="36"/>
      <c r="R57" s="36"/>
    </row>
    <row r="58" spans="1:18" s="7" customFormat="1" ht="15" hidden="1" customHeight="1" x14ac:dyDescent="0.2">
      <c r="A58" s="86" t="s">
        <v>69</v>
      </c>
      <c r="B58" s="111"/>
      <c r="C58" s="111"/>
      <c r="E58" s="112">
        <v>5</v>
      </c>
      <c r="F58" s="113" t="s">
        <v>12</v>
      </c>
      <c r="G58" s="112" t="s">
        <v>70</v>
      </c>
      <c r="H58" s="112" t="s">
        <v>15</v>
      </c>
      <c r="J58" s="36"/>
      <c r="K58" s="36"/>
      <c r="L58" s="36"/>
      <c r="M58" s="36"/>
      <c r="N58" s="36">
        <f t="shared" si="0"/>
        <v>0</v>
      </c>
      <c r="O58" s="36"/>
      <c r="P58" s="36"/>
      <c r="Q58" s="36"/>
      <c r="R58" s="36"/>
    </row>
    <row r="59" spans="1:18" s="7" customFormat="1" ht="15" hidden="1" customHeight="1" x14ac:dyDescent="0.2">
      <c r="A59" s="86" t="s">
        <v>160</v>
      </c>
      <c r="B59" s="111"/>
      <c r="C59" s="111"/>
      <c r="E59" s="112">
        <v>5</v>
      </c>
      <c r="F59" s="113" t="s">
        <v>12</v>
      </c>
      <c r="G59" s="112" t="s">
        <v>163</v>
      </c>
      <c r="H59" s="112" t="s">
        <v>8</v>
      </c>
      <c r="J59" s="36"/>
      <c r="K59" s="36"/>
      <c r="L59" s="36"/>
      <c r="M59" s="36"/>
      <c r="N59" s="36">
        <f t="shared" si="0"/>
        <v>0</v>
      </c>
      <c r="O59" s="36"/>
      <c r="P59" s="36"/>
      <c r="Q59" s="36"/>
      <c r="R59" s="36"/>
    </row>
    <row r="60" spans="1:18" s="7" customFormat="1" ht="15" hidden="1" customHeight="1" x14ac:dyDescent="0.2">
      <c r="A60" s="86" t="s">
        <v>161</v>
      </c>
      <c r="B60" s="111"/>
      <c r="C60" s="111"/>
      <c r="E60" s="112">
        <v>5</v>
      </c>
      <c r="F60" s="113" t="s">
        <v>12</v>
      </c>
      <c r="G60" s="112" t="s">
        <v>163</v>
      </c>
      <c r="H60" s="114" t="s">
        <v>49</v>
      </c>
      <c r="J60" s="36"/>
      <c r="K60" s="36"/>
      <c r="L60" s="36"/>
      <c r="M60" s="36"/>
      <c r="N60" s="36">
        <f t="shared" si="0"/>
        <v>0</v>
      </c>
      <c r="O60" s="36"/>
      <c r="P60" s="36"/>
      <c r="Q60" s="36"/>
      <c r="R60" s="36"/>
    </row>
    <row r="61" spans="1:18" s="7" customFormat="1" ht="15" hidden="1" customHeight="1" x14ac:dyDescent="0.2">
      <c r="A61" s="86" t="s">
        <v>71</v>
      </c>
      <c r="B61" s="111"/>
      <c r="C61" s="111"/>
      <c r="E61" s="112">
        <v>5</v>
      </c>
      <c r="F61" s="113" t="s">
        <v>12</v>
      </c>
      <c r="G61" s="112" t="s">
        <v>163</v>
      </c>
      <c r="H61" s="112" t="s">
        <v>10</v>
      </c>
      <c r="J61" s="36"/>
      <c r="K61" s="36"/>
      <c r="L61" s="36"/>
      <c r="M61" s="36"/>
      <c r="N61" s="36">
        <f t="shared" si="0"/>
        <v>0</v>
      </c>
      <c r="O61" s="36"/>
      <c r="P61" s="36"/>
      <c r="Q61" s="36"/>
      <c r="R61" s="36"/>
    </row>
    <row r="62" spans="1:18" s="7" customFormat="1" ht="15" hidden="1" customHeight="1" x14ac:dyDescent="0.2">
      <c r="A62" s="86" t="s">
        <v>162</v>
      </c>
      <c r="B62" s="111"/>
      <c r="C62" s="111"/>
      <c r="E62" s="112">
        <v>5</v>
      </c>
      <c r="F62" s="113" t="s">
        <v>12</v>
      </c>
      <c r="G62" s="112" t="s">
        <v>163</v>
      </c>
      <c r="H62" s="112" t="s">
        <v>15</v>
      </c>
      <c r="J62" s="36"/>
      <c r="K62" s="36"/>
      <c r="L62" s="36"/>
      <c r="M62" s="36"/>
      <c r="N62" s="36">
        <f t="shared" si="0"/>
        <v>0</v>
      </c>
      <c r="O62" s="36"/>
      <c r="P62" s="36"/>
      <c r="Q62" s="36"/>
      <c r="R62" s="36"/>
    </row>
    <row r="63" spans="1:18" s="7" customFormat="1" ht="15" hidden="1" customHeight="1" x14ac:dyDescent="0.2">
      <c r="A63" s="86" t="s">
        <v>72</v>
      </c>
      <c r="B63" s="111"/>
      <c r="C63" s="111"/>
      <c r="E63" s="112">
        <v>5</v>
      </c>
      <c r="F63" s="113" t="s">
        <v>12</v>
      </c>
      <c r="G63" s="112" t="s">
        <v>70</v>
      </c>
      <c r="H63" s="112" t="s">
        <v>49</v>
      </c>
      <c r="J63" s="36"/>
      <c r="K63" s="36"/>
      <c r="L63" s="36"/>
      <c r="M63" s="36"/>
      <c r="N63" s="36">
        <f t="shared" si="0"/>
        <v>0</v>
      </c>
      <c r="O63" s="36"/>
      <c r="P63" s="36"/>
      <c r="Q63" s="36"/>
      <c r="R63" s="36"/>
    </row>
    <row r="64" spans="1:18" s="7" customFormat="1" ht="15" hidden="1" customHeight="1" x14ac:dyDescent="0.2">
      <c r="A64" s="86" t="s">
        <v>164</v>
      </c>
      <c r="B64" s="111"/>
      <c r="C64" s="111"/>
      <c r="E64" s="112">
        <v>5</v>
      </c>
      <c r="F64" s="113" t="s">
        <v>12</v>
      </c>
      <c r="G64" s="112" t="s">
        <v>74</v>
      </c>
      <c r="H64" s="112" t="s">
        <v>10</v>
      </c>
      <c r="J64" s="36"/>
      <c r="K64" s="36"/>
      <c r="L64" s="36"/>
      <c r="M64" s="36"/>
      <c r="N64" s="36">
        <f t="shared" si="0"/>
        <v>0</v>
      </c>
      <c r="O64" s="36"/>
      <c r="P64" s="36"/>
      <c r="Q64" s="36"/>
      <c r="R64" s="36"/>
    </row>
    <row r="65" spans="1:18" s="7" customFormat="1" ht="15" hidden="1" customHeight="1" x14ac:dyDescent="0.2">
      <c r="A65" s="86" t="s">
        <v>165</v>
      </c>
      <c r="B65" s="111"/>
      <c r="C65" s="111"/>
      <c r="E65" s="112">
        <v>5</v>
      </c>
      <c r="F65" s="113" t="s">
        <v>12</v>
      </c>
      <c r="G65" s="112" t="s">
        <v>74</v>
      </c>
      <c r="H65" s="112" t="s">
        <v>15</v>
      </c>
      <c r="J65" s="36"/>
      <c r="K65" s="36"/>
      <c r="L65" s="36"/>
      <c r="M65" s="36"/>
      <c r="N65" s="36">
        <f t="shared" si="0"/>
        <v>0</v>
      </c>
      <c r="O65" s="36"/>
      <c r="P65" s="36"/>
      <c r="Q65" s="36"/>
      <c r="R65" s="36"/>
    </row>
    <row r="66" spans="1:18" s="7" customFormat="1" ht="15" customHeight="1" x14ac:dyDescent="0.2">
      <c r="A66" s="86" t="s">
        <v>165</v>
      </c>
      <c r="B66" s="111"/>
      <c r="C66" s="111"/>
      <c r="E66" s="112">
        <v>5</v>
      </c>
      <c r="F66" s="113" t="s">
        <v>12</v>
      </c>
      <c r="G66" s="112" t="s">
        <v>74</v>
      </c>
      <c r="H66" s="112" t="s">
        <v>15</v>
      </c>
      <c r="J66" s="36">
        <v>1190000</v>
      </c>
      <c r="K66" s="36"/>
      <c r="L66" s="36"/>
      <c r="M66" s="36"/>
      <c r="N66" s="36"/>
      <c r="O66" s="36"/>
      <c r="P66" s="36"/>
      <c r="Q66" s="36"/>
      <c r="R66" s="36">
        <v>300000</v>
      </c>
    </row>
    <row r="67" spans="1:18" s="7" customFormat="1" ht="15" customHeight="1" x14ac:dyDescent="0.2">
      <c r="A67" s="86" t="s">
        <v>166</v>
      </c>
      <c r="B67" s="111"/>
      <c r="C67" s="111"/>
      <c r="E67" s="112">
        <v>5</v>
      </c>
      <c r="F67" s="113" t="s">
        <v>12</v>
      </c>
      <c r="G67" s="112" t="s">
        <v>74</v>
      </c>
      <c r="H67" s="112" t="s">
        <v>17</v>
      </c>
      <c r="J67" s="36">
        <v>1000000</v>
      </c>
      <c r="K67" s="36"/>
      <c r="L67" s="36"/>
      <c r="M67" s="36"/>
      <c r="N67" s="36"/>
      <c r="O67" s="36"/>
      <c r="P67" s="36"/>
      <c r="Q67" s="36"/>
      <c r="R67" s="36">
        <v>300000</v>
      </c>
    </row>
    <row r="68" spans="1:18" s="7" customFormat="1" ht="15" hidden="1" customHeight="1" x14ac:dyDescent="0.2">
      <c r="A68" s="86" t="s">
        <v>167</v>
      </c>
      <c r="B68" s="111"/>
      <c r="C68" s="111"/>
      <c r="E68" s="112">
        <v>5</v>
      </c>
      <c r="F68" s="113" t="s">
        <v>12</v>
      </c>
      <c r="G68" s="112" t="s">
        <v>74</v>
      </c>
      <c r="H68" s="112" t="s">
        <v>8</v>
      </c>
      <c r="J68" s="36"/>
      <c r="K68" s="36"/>
      <c r="L68" s="36"/>
      <c r="M68" s="36"/>
      <c r="N68" s="36">
        <f t="shared" si="0"/>
        <v>0</v>
      </c>
      <c r="O68" s="36"/>
      <c r="P68" s="36"/>
      <c r="Q68" s="36"/>
      <c r="R68" s="36"/>
    </row>
    <row r="69" spans="1:18" s="7" customFormat="1" ht="15" hidden="1" customHeight="1" x14ac:dyDescent="0.2">
      <c r="A69" s="86" t="s">
        <v>168</v>
      </c>
      <c r="B69" s="111"/>
      <c r="C69" s="111"/>
      <c r="E69" s="112">
        <v>5</v>
      </c>
      <c r="F69" s="113" t="s">
        <v>12</v>
      </c>
      <c r="G69" s="112" t="s">
        <v>74</v>
      </c>
      <c r="H69" s="112" t="s">
        <v>45</v>
      </c>
      <c r="J69" s="36"/>
      <c r="K69" s="36"/>
      <c r="L69" s="36"/>
      <c r="M69" s="36"/>
      <c r="N69" s="36">
        <f t="shared" si="0"/>
        <v>0</v>
      </c>
      <c r="O69" s="36"/>
      <c r="P69" s="36"/>
      <c r="Q69" s="36"/>
      <c r="R69" s="36"/>
    </row>
    <row r="70" spans="1:18" s="7" customFormat="1" ht="15" hidden="1" customHeight="1" x14ac:dyDescent="0.2">
      <c r="A70" s="86" t="s">
        <v>73</v>
      </c>
      <c r="B70" s="111"/>
      <c r="C70" s="111"/>
      <c r="E70" s="112">
        <v>5</v>
      </c>
      <c r="F70" s="113" t="s">
        <v>12</v>
      </c>
      <c r="G70" s="112" t="s">
        <v>74</v>
      </c>
      <c r="H70" s="112" t="s">
        <v>64</v>
      </c>
      <c r="J70" s="36"/>
      <c r="K70" s="36"/>
      <c r="L70" s="36"/>
      <c r="M70" s="36"/>
      <c r="N70" s="36">
        <f t="shared" si="0"/>
        <v>0</v>
      </c>
      <c r="O70" s="36"/>
      <c r="P70" s="36"/>
      <c r="Q70" s="36"/>
      <c r="R70" s="36"/>
    </row>
    <row r="71" spans="1:18" s="7" customFormat="1" ht="15" hidden="1" customHeight="1" x14ac:dyDescent="0.2">
      <c r="A71" s="86" t="s">
        <v>75</v>
      </c>
      <c r="B71" s="111"/>
      <c r="C71" s="111"/>
      <c r="E71" s="112">
        <v>5</v>
      </c>
      <c r="F71" s="113" t="s">
        <v>12</v>
      </c>
      <c r="G71" s="112" t="s">
        <v>74</v>
      </c>
      <c r="H71" s="112" t="s">
        <v>19</v>
      </c>
      <c r="J71" s="36"/>
      <c r="K71" s="36"/>
      <c r="L71" s="36"/>
      <c r="M71" s="36"/>
      <c r="N71" s="36">
        <f t="shared" si="0"/>
        <v>0</v>
      </c>
      <c r="O71" s="36"/>
      <c r="P71" s="36"/>
      <c r="Q71" s="36"/>
      <c r="R71" s="36"/>
    </row>
    <row r="72" spans="1:18" s="7" customFormat="1" ht="15" hidden="1" customHeight="1" x14ac:dyDescent="0.2">
      <c r="A72" s="86" t="s">
        <v>73</v>
      </c>
      <c r="B72" s="111"/>
      <c r="C72" s="111"/>
      <c r="E72" s="112">
        <v>5</v>
      </c>
      <c r="F72" s="113" t="s">
        <v>12</v>
      </c>
      <c r="G72" s="112" t="s">
        <v>74</v>
      </c>
      <c r="H72" s="112" t="s">
        <v>64</v>
      </c>
      <c r="J72" s="36"/>
      <c r="K72" s="36"/>
      <c r="L72" s="36"/>
      <c r="M72" s="36"/>
      <c r="N72" s="36">
        <f t="shared" si="0"/>
        <v>0</v>
      </c>
      <c r="O72" s="36"/>
      <c r="P72" s="36"/>
      <c r="Q72" s="36"/>
      <c r="R72" s="36"/>
    </row>
    <row r="73" spans="1:18" s="7" customFormat="1" ht="15" hidden="1" customHeight="1" x14ac:dyDescent="0.2">
      <c r="A73" s="86" t="s">
        <v>73</v>
      </c>
      <c r="B73" s="111"/>
      <c r="C73" s="111"/>
      <c r="E73" s="112">
        <v>5</v>
      </c>
      <c r="F73" s="113" t="s">
        <v>12</v>
      </c>
      <c r="G73" s="112" t="s">
        <v>74</v>
      </c>
      <c r="H73" s="112" t="s">
        <v>64</v>
      </c>
      <c r="J73" s="36"/>
      <c r="K73" s="36"/>
      <c r="L73" s="36"/>
      <c r="M73" s="36"/>
      <c r="N73" s="36">
        <f t="shared" si="0"/>
        <v>0</v>
      </c>
      <c r="O73" s="36"/>
      <c r="P73" s="36"/>
      <c r="Q73" s="36"/>
      <c r="R73" s="36"/>
    </row>
    <row r="74" spans="1:18" s="7" customFormat="1" ht="15" hidden="1" customHeight="1" x14ac:dyDescent="0.2">
      <c r="A74" s="86" t="s">
        <v>76</v>
      </c>
      <c r="B74" s="111"/>
      <c r="C74" s="111"/>
      <c r="E74" s="112">
        <v>5</v>
      </c>
      <c r="F74" s="113" t="s">
        <v>12</v>
      </c>
      <c r="G74" s="112" t="s">
        <v>74</v>
      </c>
      <c r="H74" s="112" t="s">
        <v>60</v>
      </c>
      <c r="J74" s="36"/>
      <c r="K74" s="36"/>
      <c r="L74" s="36"/>
      <c r="M74" s="36"/>
      <c r="N74" s="36">
        <f t="shared" si="0"/>
        <v>0</v>
      </c>
      <c r="O74" s="36"/>
      <c r="P74" s="36"/>
      <c r="Q74" s="36"/>
      <c r="R74" s="36"/>
    </row>
    <row r="75" spans="1:18" s="7" customFormat="1" ht="15" hidden="1" customHeight="1" x14ac:dyDescent="0.2">
      <c r="A75" s="86" t="s">
        <v>77</v>
      </c>
      <c r="B75" s="111"/>
      <c r="C75" s="111"/>
      <c r="E75" s="112">
        <v>5</v>
      </c>
      <c r="F75" s="113" t="s">
        <v>12</v>
      </c>
      <c r="G75" s="112" t="s">
        <v>74</v>
      </c>
      <c r="H75" s="112" t="s">
        <v>49</v>
      </c>
      <c r="J75" s="36"/>
      <c r="K75" s="36"/>
      <c r="L75" s="36"/>
      <c r="M75" s="36"/>
      <c r="N75" s="36">
        <f t="shared" si="0"/>
        <v>0</v>
      </c>
      <c r="O75" s="36"/>
      <c r="P75" s="36"/>
      <c r="Q75" s="36"/>
      <c r="R75" s="36"/>
    </row>
    <row r="76" spans="1:18" s="7" customFormat="1" ht="15" hidden="1" customHeight="1" x14ac:dyDescent="0.2">
      <c r="A76" s="86" t="s">
        <v>78</v>
      </c>
      <c r="B76" s="111"/>
      <c r="C76" s="111"/>
      <c r="E76" s="112">
        <v>5</v>
      </c>
      <c r="F76" s="113" t="s">
        <v>12</v>
      </c>
      <c r="G76" s="112" t="s">
        <v>79</v>
      </c>
      <c r="H76" s="112" t="s">
        <v>10</v>
      </c>
      <c r="J76" s="36"/>
      <c r="K76" s="36"/>
      <c r="L76" s="36"/>
      <c r="M76" s="36"/>
      <c r="N76" s="36">
        <f t="shared" si="0"/>
        <v>0</v>
      </c>
      <c r="O76" s="36"/>
      <c r="P76" s="36"/>
      <c r="Q76" s="36"/>
      <c r="R76" s="36"/>
    </row>
    <row r="77" spans="1:18" s="7" customFormat="1" ht="15" hidden="1" customHeight="1" x14ac:dyDescent="0.2">
      <c r="A77" s="86" t="s">
        <v>80</v>
      </c>
      <c r="B77" s="111"/>
      <c r="C77" s="111"/>
      <c r="E77" s="112">
        <v>5</v>
      </c>
      <c r="F77" s="113" t="s">
        <v>12</v>
      </c>
      <c r="G77" s="112" t="s">
        <v>79</v>
      </c>
      <c r="H77" s="112" t="s">
        <v>15</v>
      </c>
      <c r="J77" s="36"/>
      <c r="K77" s="36"/>
      <c r="L77" s="36"/>
      <c r="M77" s="36"/>
      <c r="N77" s="36">
        <f t="shared" si="0"/>
        <v>0</v>
      </c>
      <c r="O77" s="36"/>
      <c r="P77" s="36"/>
      <c r="Q77" s="36"/>
      <c r="R77" s="36"/>
    </row>
    <row r="78" spans="1:18" s="7" customFormat="1" ht="15" hidden="1" customHeight="1" x14ac:dyDescent="0.2">
      <c r="A78" s="86" t="s">
        <v>169</v>
      </c>
      <c r="B78" s="111"/>
      <c r="C78" s="111"/>
      <c r="E78" s="112">
        <v>5</v>
      </c>
      <c r="F78" s="113" t="s">
        <v>12</v>
      </c>
      <c r="G78" s="112" t="s">
        <v>79</v>
      </c>
      <c r="H78" s="113" t="s">
        <v>60</v>
      </c>
      <c r="J78" s="36"/>
      <c r="K78" s="36"/>
      <c r="L78" s="36"/>
      <c r="M78" s="36"/>
      <c r="N78" s="36">
        <f t="shared" si="0"/>
        <v>0</v>
      </c>
      <c r="O78" s="36"/>
      <c r="P78" s="36"/>
      <c r="Q78" s="36"/>
      <c r="R78" s="36"/>
    </row>
    <row r="79" spans="1:18" s="7" customFormat="1" ht="15" hidden="1" customHeight="1" x14ac:dyDescent="0.2">
      <c r="A79" s="86" t="s">
        <v>170</v>
      </c>
      <c r="B79" s="111"/>
      <c r="C79" s="111"/>
      <c r="E79" s="112">
        <v>5</v>
      </c>
      <c r="F79" s="113" t="s">
        <v>12</v>
      </c>
      <c r="G79" s="112" t="s">
        <v>79</v>
      </c>
      <c r="H79" s="113" t="s">
        <v>19</v>
      </c>
      <c r="J79" s="36"/>
      <c r="K79" s="36"/>
      <c r="L79" s="36"/>
      <c r="M79" s="36"/>
      <c r="N79" s="36">
        <f t="shared" si="0"/>
        <v>0</v>
      </c>
      <c r="O79" s="36"/>
      <c r="P79" s="36"/>
      <c r="Q79" s="36"/>
      <c r="R79" s="36"/>
    </row>
    <row r="80" spans="1:18" s="7" customFormat="1" ht="15" hidden="1" customHeight="1" x14ac:dyDescent="0.2">
      <c r="A80" s="86" t="s">
        <v>171</v>
      </c>
      <c r="B80" s="111"/>
      <c r="C80" s="111"/>
      <c r="E80" s="112">
        <v>5</v>
      </c>
      <c r="F80" s="113" t="s">
        <v>12</v>
      </c>
      <c r="G80" s="112" t="s">
        <v>79</v>
      </c>
      <c r="H80" s="113" t="s">
        <v>82</v>
      </c>
      <c r="J80" s="36"/>
      <c r="K80" s="36"/>
      <c r="L80" s="36"/>
      <c r="M80" s="36"/>
      <c r="N80" s="36">
        <f t="shared" si="0"/>
        <v>0</v>
      </c>
      <c r="O80" s="36"/>
      <c r="P80" s="36"/>
      <c r="Q80" s="36"/>
      <c r="R80" s="36"/>
    </row>
    <row r="81" spans="1:18" s="7" customFormat="1" ht="15" hidden="1" customHeight="1" x14ac:dyDescent="0.2">
      <c r="A81" s="86" t="s">
        <v>83</v>
      </c>
      <c r="B81" s="111"/>
      <c r="C81" s="111"/>
      <c r="E81" s="112">
        <v>5</v>
      </c>
      <c r="F81" s="113" t="s">
        <v>12</v>
      </c>
      <c r="G81" s="112" t="s">
        <v>84</v>
      </c>
      <c r="H81" s="113" t="s">
        <v>8</v>
      </c>
      <c r="J81" s="36"/>
      <c r="K81" s="36"/>
      <c r="L81" s="36"/>
      <c r="M81" s="36"/>
      <c r="N81" s="36">
        <f t="shared" si="0"/>
        <v>0</v>
      </c>
      <c r="O81" s="36"/>
      <c r="P81" s="36"/>
      <c r="Q81" s="36"/>
      <c r="R81" s="36"/>
    </row>
    <row r="82" spans="1:18" s="7" customFormat="1" ht="15" hidden="1" customHeight="1" x14ac:dyDescent="0.2">
      <c r="A82" s="86" t="s">
        <v>85</v>
      </c>
      <c r="B82" s="111"/>
      <c r="C82" s="111"/>
      <c r="E82" s="112">
        <v>5</v>
      </c>
      <c r="F82" s="113" t="s">
        <v>12</v>
      </c>
      <c r="G82" s="112" t="s">
        <v>84</v>
      </c>
      <c r="H82" s="113" t="s">
        <v>10</v>
      </c>
      <c r="J82" s="36"/>
      <c r="K82" s="36"/>
      <c r="L82" s="36"/>
      <c r="M82" s="36"/>
      <c r="N82" s="36">
        <f t="shared" si="0"/>
        <v>0</v>
      </c>
      <c r="O82" s="36"/>
      <c r="P82" s="36"/>
      <c r="Q82" s="36"/>
      <c r="R82" s="36"/>
    </row>
    <row r="83" spans="1:18" s="7" customFormat="1" ht="15" hidden="1" customHeight="1" x14ac:dyDescent="0.2">
      <c r="A83" s="86" t="s">
        <v>86</v>
      </c>
      <c r="B83" s="111"/>
      <c r="C83" s="111"/>
      <c r="E83" s="112">
        <v>5</v>
      </c>
      <c r="F83" s="113" t="s">
        <v>12</v>
      </c>
      <c r="G83" s="112" t="s">
        <v>84</v>
      </c>
      <c r="H83" s="113" t="s">
        <v>15</v>
      </c>
      <c r="J83" s="36"/>
      <c r="K83" s="36"/>
      <c r="L83" s="36"/>
      <c r="M83" s="36"/>
      <c r="N83" s="36">
        <f t="shared" si="0"/>
        <v>0</v>
      </c>
      <c r="O83" s="36"/>
      <c r="P83" s="36"/>
      <c r="Q83" s="36"/>
      <c r="R83" s="36"/>
    </row>
    <row r="84" spans="1:18" s="7" customFormat="1" ht="15" hidden="1" customHeight="1" x14ac:dyDescent="0.2">
      <c r="A84" s="86" t="s">
        <v>172</v>
      </c>
      <c r="B84" s="111"/>
      <c r="C84" s="111"/>
      <c r="E84" s="112">
        <v>5</v>
      </c>
      <c r="F84" s="113" t="s">
        <v>12</v>
      </c>
      <c r="G84" s="112" t="s">
        <v>174</v>
      </c>
      <c r="H84" s="113" t="s">
        <v>8</v>
      </c>
      <c r="J84" s="36"/>
      <c r="K84" s="36"/>
      <c r="L84" s="36"/>
      <c r="M84" s="36"/>
      <c r="N84" s="36">
        <f t="shared" si="0"/>
        <v>0</v>
      </c>
      <c r="O84" s="36"/>
      <c r="P84" s="36"/>
      <c r="Q84" s="36"/>
      <c r="R84" s="36"/>
    </row>
    <row r="85" spans="1:18" s="7" customFormat="1" ht="15" hidden="1" customHeight="1" x14ac:dyDescent="0.2">
      <c r="A85" s="86" t="s">
        <v>173</v>
      </c>
      <c r="B85" s="111"/>
      <c r="C85" s="111"/>
      <c r="E85" s="112">
        <v>5</v>
      </c>
      <c r="F85" s="113" t="s">
        <v>12</v>
      </c>
      <c r="G85" s="112" t="s">
        <v>174</v>
      </c>
      <c r="H85" s="113" t="s">
        <v>10</v>
      </c>
      <c r="J85" s="36"/>
      <c r="K85" s="36"/>
      <c r="L85" s="36"/>
      <c r="M85" s="36"/>
      <c r="N85" s="36">
        <f t="shared" ref="N85:N87" si="1">P85-L85</f>
        <v>0</v>
      </c>
      <c r="O85" s="36"/>
      <c r="P85" s="36"/>
      <c r="Q85" s="36"/>
      <c r="R85" s="36"/>
    </row>
    <row r="86" spans="1:18" s="7" customFormat="1" ht="15" customHeight="1" x14ac:dyDescent="0.2">
      <c r="A86" s="86" t="s">
        <v>311</v>
      </c>
      <c r="B86" s="111"/>
      <c r="C86" s="111"/>
      <c r="E86" s="112">
        <v>5</v>
      </c>
      <c r="F86" s="113" t="s">
        <v>12</v>
      </c>
      <c r="G86" s="114" t="s">
        <v>79</v>
      </c>
      <c r="H86" s="128" t="s">
        <v>15</v>
      </c>
      <c r="J86" s="36"/>
      <c r="K86" s="36"/>
      <c r="L86" s="36"/>
      <c r="M86" s="36"/>
      <c r="N86" s="36">
        <f>P86-L86</f>
        <v>500000</v>
      </c>
      <c r="O86" s="36"/>
      <c r="P86" s="36">
        <v>500000</v>
      </c>
      <c r="Q86" s="36"/>
      <c r="R86" s="36">
        <v>500000</v>
      </c>
    </row>
    <row r="87" spans="1:18" s="7" customFormat="1" ht="15" customHeight="1" x14ac:dyDescent="0.2">
      <c r="A87" s="86" t="s">
        <v>87</v>
      </c>
      <c r="B87" s="111"/>
      <c r="C87" s="111"/>
      <c r="E87" s="112">
        <v>5</v>
      </c>
      <c r="F87" s="113" t="s">
        <v>12</v>
      </c>
      <c r="G87" s="112" t="s">
        <v>174</v>
      </c>
      <c r="H87" s="113" t="s">
        <v>15</v>
      </c>
      <c r="J87" s="36">
        <v>7045000</v>
      </c>
      <c r="K87" s="36"/>
      <c r="L87" s="36">
        <v>3956622.2</v>
      </c>
      <c r="M87" s="36"/>
      <c r="N87" s="36">
        <f t="shared" si="1"/>
        <v>3093377.8</v>
      </c>
      <c r="O87" s="36"/>
      <c r="P87" s="36">
        <v>7050000</v>
      </c>
      <c r="Q87" s="36"/>
      <c r="R87" s="36">
        <v>7050000</v>
      </c>
    </row>
    <row r="88" spans="1:18" s="7" customFormat="1" ht="15" customHeight="1" x14ac:dyDescent="0.2">
      <c r="A88" s="86" t="s">
        <v>62</v>
      </c>
      <c r="B88" s="111"/>
      <c r="C88" s="111"/>
      <c r="E88" s="112">
        <v>5</v>
      </c>
      <c r="F88" s="113" t="s">
        <v>12</v>
      </c>
      <c r="G88" s="112" t="s">
        <v>59</v>
      </c>
      <c r="H88" s="112" t="s">
        <v>10</v>
      </c>
      <c r="J88" s="36">
        <v>500000</v>
      </c>
      <c r="K88" s="36"/>
      <c r="L88" s="36"/>
      <c r="M88" s="36"/>
      <c r="N88" s="36"/>
      <c r="O88" s="36"/>
      <c r="P88" s="36"/>
      <c r="Q88" s="36"/>
      <c r="R88" s="36"/>
    </row>
    <row r="89" spans="1:18" s="7" customFormat="1" ht="15" customHeight="1" x14ac:dyDescent="0.2">
      <c r="A89" s="86" t="s">
        <v>81</v>
      </c>
      <c r="B89" s="111"/>
      <c r="C89" s="111"/>
      <c r="E89" s="112">
        <v>5</v>
      </c>
      <c r="F89" s="113" t="s">
        <v>12</v>
      </c>
      <c r="G89" s="112" t="s">
        <v>59</v>
      </c>
      <c r="H89" s="113" t="s">
        <v>82</v>
      </c>
      <c r="J89" s="36">
        <v>200000</v>
      </c>
      <c r="K89" s="36"/>
      <c r="L89" s="36">
        <v>30000000</v>
      </c>
      <c r="M89" s="36"/>
      <c r="N89" s="36">
        <f>P89-L89</f>
        <v>25746.219999998808</v>
      </c>
      <c r="O89" s="36"/>
      <c r="P89" s="36">
        <v>30025746.219999999</v>
      </c>
      <c r="Q89" s="36"/>
      <c r="R89" s="36">
        <v>30308057.739999998</v>
      </c>
    </row>
    <row r="90" spans="1:18" s="7" customFormat="1" ht="15" customHeight="1" x14ac:dyDescent="0.2">
      <c r="A90" s="86" t="s">
        <v>260</v>
      </c>
      <c r="B90" s="111"/>
      <c r="C90" s="111"/>
      <c r="E90" s="112">
        <v>5</v>
      </c>
      <c r="F90" s="113" t="s">
        <v>12</v>
      </c>
      <c r="G90" s="134">
        <v>99</v>
      </c>
      <c r="H90" s="135">
        <v>990</v>
      </c>
      <c r="J90" s="36">
        <v>125000</v>
      </c>
      <c r="K90" s="36"/>
      <c r="L90" s="36">
        <v>0</v>
      </c>
      <c r="M90" s="36"/>
      <c r="N90" s="36">
        <f>P90-L90</f>
        <v>1602984.86</v>
      </c>
      <c r="O90" s="36"/>
      <c r="P90" s="36">
        <v>1602984.86</v>
      </c>
      <c r="Q90" s="36"/>
      <c r="R90" s="36">
        <v>6009028.8600000003</v>
      </c>
    </row>
    <row r="91" spans="1:18" s="7" customFormat="1" ht="15" customHeight="1" x14ac:dyDescent="0.2">
      <c r="A91" s="314" t="s">
        <v>191</v>
      </c>
      <c r="B91" s="314"/>
      <c r="C91" s="314"/>
      <c r="J91" s="161">
        <f>SUM(J16:J90)</f>
        <v>16699121.300000001</v>
      </c>
      <c r="K91" s="162"/>
      <c r="L91" s="21">
        <f>SUM(L19:L89)</f>
        <v>66642517.950000003</v>
      </c>
      <c r="M91" s="36"/>
      <c r="N91" s="161">
        <f>SUM(N15:N90)</f>
        <v>36624047.759999998</v>
      </c>
      <c r="O91" s="36"/>
      <c r="P91" s="161">
        <f>SUM(P15:P90)</f>
        <v>103266565.70999999</v>
      </c>
      <c r="Q91" s="36"/>
      <c r="R91" s="161">
        <f>SUM(R16:R90)</f>
        <v>162467147.81000003</v>
      </c>
    </row>
    <row r="92" spans="1:18" s="7" customFormat="1" ht="6" customHeight="1" x14ac:dyDescent="0.2">
      <c r="A92" s="20"/>
      <c r="B92" s="20"/>
      <c r="C92" s="20"/>
      <c r="J92" s="162"/>
      <c r="K92" s="162"/>
      <c r="L92" s="36"/>
      <c r="M92" s="36"/>
      <c r="N92" s="36"/>
      <c r="O92" s="36"/>
      <c r="P92" s="36"/>
      <c r="Q92" s="36"/>
      <c r="R92" s="36"/>
    </row>
    <row r="93" spans="1:18" s="7" customFormat="1" ht="12.75" customHeight="1" x14ac:dyDescent="0.2">
      <c r="A93" s="68" t="s">
        <v>190</v>
      </c>
      <c r="B93" s="11"/>
      <c r="C93" s="11"/>
      <c r="J93" s="36"/>
      <c r="K93" s="36"/>
      <c r="L93" s="36"/>
      <c r="M93" s="36"/>
      <c r="N93" s="36"/>
      <c r="O93" s="36"/>
      <c r="P93" s="36"/>
      <c r="Q93" s="36"/>
      <c r="R93" s="36"/>
    </row>
    <row r="94" spans="1:18" s="7" customFormat="1" ht="12.75" hidden="1" customHeight="1" x14ac:dyDescent="0.2">
      <c r="A94" s="11" t="s">
        <v>89</v>
      </c>
      <c r="B94" s="24"/>
      <c r="C94" s="24"/>
      <c r="J94" s="36"/>
      <c r="K94" s="36"/>
      <c r="L94" s="36"/>
      <c r="M94" s="36"/>
      <c r="N94" s="36"/>
      <c r="O94" s="36"/>
      <c r="P94" s="36"/>
      <c r="Q94" s="36"/>
      <c r="R94" s="36"/>
    </row>
    <row r="95" spans="1:18" s="7" customFormat="1" ht="12.75" hidden="1" customHeight="1" x14ac:dyDescent="0.2">
      <c r="A95" s="70" t="s">
        <v>90</v>
      </c>
      <c r="B95" s="9"/>
      <c r="C95" s="9"/>
      <c r="E95" s="112">
        <v>1</v>
      </c>
      <c r="F95" s="113" t="s">
        <v>12</v>
      </c>
      <c r="G95" s="112" t="s">
        <v>54</v>
      </c>
      <c r="H95" s="114" t="s">
        <v>10</v>
      </c>
      <c r="J95" s="36"/>
      <c r="K95" s="36"/>
      <c r="L95" s="36"/>
      <c r="M95" s="36"/>
      <c r="N95" s="36"/>
      <c r="O95" s="36"/>
      <c r="P95" s="36"/>
      <c r="Q95" s="36"/>
      <c r="R95" s="36"/>
    </row>
    <row r="96" spans="1:18" s="7" customFormat="1" ht="0.75" hidden="1" customHeight="1" x14ac:dyDescent="0.2">
      <c r="A96" s="86" t="s">
        <v>92</v>
      </c>
      <c r="B96" s="111"/>
      <c r="C96" s="111"/>
      <c r="E96" s="112">
        <v>1</v>
      </c>
      <c r="F96" s="113" t="s">
        <v>93</v>
      </c>
      <c r="G96" s="112" t="s">
        <v>7</v>
      </c>
      <c r="H96" s="112" t="s">
        <v>8</v>
      </c>
      <c r="J96" s="36"/>
      <c r="K96" s="36"/>
      <c r="L96" s="36"/>
      <c r="M96" s="36"/>
      <c r="N96" s="36"/>
      <c r="O96" s="36"/>
      <c r="P96" s="36"/>
      <c r="Q96" s="36"/>
      <c r="R96" s="36"/>
    </row>
    <row r="97" spans="1:18" s="7" customFormat="1" ht="6" customHeight="1" x14ac:dyDescent="0.2">
      <c r="A97" s="86"/>
      <c r="B97" s="111"/>
      <c r="C97" s="111"/>
      <c r="E97" s="112"/>
      <c r="F97" s="113"/>
      <c r="G97" s="112"/>
      <c r="H97" s="112"/>
      <c r="J97" s="36"/>
      <c r="K97" s="36"/>
      <c r="L97" s="36"/>
      <c r="M97" s="36"/>
      <c r="N97" s="36"/>
      <c r="O97" s="36"/>
      <c r="P97" s="36"/>
      <c r="Q97" s="36"/>
      <c r="R97" s="36"/>
    </row>
    <row r="98" spans="1:18" s="7" customFormat="1" ht="15" customHeight="1" x14ac:dyDescent="0.2">
      <c r="A98" s="330" t="s">
        <v>241</v>
      </c>
      <c r="B98" s="330"/>
      <c r="C98" s="330"/>
      <c r="D98" s="113"/>
      <c r="E98" s="112">
        <v>1</v>
      </c>
      <c r="F98" s="113" t="s">
        <v>93</v>
      </c>
      <c r="G98" s="112" t="s">
        <v>29</v>
      </c>
      <c r="H98" s="112" t="s">
        <v>10</v>
      </c>
      <c r="J98" s="36">
        <v>43663214.200000003</v>
      </c>
      <c r="K98" s="36"/>
      <c r="L98" s="36"/>
      <c r="M98" s="36"/>
      <c r="N98" s="36">
        <f>P98-L98</f>
        <v>34000000</v>
      </c>
      <c r="O98" s="36"/>
      <c r="P98" s="36">
        <v>34000000</v>
      </c>
      <c r="Q98" s="36"/>
      <c r="R98" s="36">
        <v>61000000</v>
      </c>
    </row>
    <row r="99" spans="1:18" s="7" customFormat="1" ht="15" customHeight="1" x14ac:dyDescent="0.2">
      <c r="A99" s="86" t="s">
        <v>238</v>
      </c>
      <c r="B99" s="111"/>
      <c r="C99" s="111"/>
      <c r="D99" s="113"/>
      <c r="E99" s="112">
        <v>1</v>
      </c>
      <c r="F99" s="113" t="s">
        <v>93</v>
      </c>
      <c r="G99" s="114" t="s">
        <v>29</v>
      </c>
      <c r="H99" s="114" t="s">
        <v>49</v>
      </c>
      <c r="J99" s="36">
        <v>28974943.579999998</v>
      </c>
      <c r="K99" s="36"/>
      <c r="L99" s="36"/>
      <c r="M99" s="36"/>
      <c r="N99" s="36">
        <f>P99-L99</f>
        <v>67000000</v>
      </c>
      <c r="O99" s="36"/>
      <c r="P99" s="36">
        <v>67000000</v>
      </c>
      <c r="Q99" s="36"/>
      <c r="R99" s="36">
        <v>20100000</v>
      </c>
    </row>
    <row r="100" spans="1:18" s="7" customFormat="1" ht="15" customHeight="1" x14ac:dyDescent="0.2">
      <c r="A100" s="86" t="s">
        <v>95</v>
      </c>
      <c r="B100" s="111"/>
      <c r="C100" s="111"/>
      <c r="D100" s="113"/>
      <c r="E100" s="112">
        <v>1</v>
      </c>
      <c r="F100" s="113" t="s">
        <v>93</v>
      </c>
      <c r="G100" s="114" t="s">
        <v>34</v>
      </c>
      <c r="H100" s="114" t="s">
        <v>49</v>
      </c>
      <c r="J100" s="36">
        <v>28974943.579999998</v>
      </c>
      <c r="K100" s="36"/>
      <c r="L100" s="36"/>
      <c r="M100" s="36"/>
      <c r="N100" s="36">
        <f>P100-L100</f>
        <v>67000000</v>
      </c>
      <c r="O100" s="36"/>
      <c r="P100" s="36">
        <v>67000000</v>
      </c>
      <c r="Q100" s="36"/>
      <c r="R100" s="36"/>
    </row>
    <row r="101" spans="1:18" s="7" customFormat="1" ht="15" hidden="1" customHeight="1" x14ac:dyDescent="0.2">
      <c r="A101" s="86" t="s">
        <v>94</v>
      </c>
      <c r="B101" s="111"/>
      <c r="C101" s="111"/>
      <c r="E101" s="112">
        <v>1</v>
      </c>
      <c r="F101" s="113" t="s">
        <v>93</v>
      </c>
      <c r="G101" s="112" t="s">
        <v>34</v>
      </c>
      <c r="H101" s="112" t="s">
        <v>8</v>
      </c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1:18" s="7" customFormat="1" ht="15" hidden="1" customHeight="1" x14ac:dyDescent="0.2">
      <c r="A102" s="86" t="s">
        <v>95</v>
      </c>
      <c r="B102" s="116"/>
      <c r="C102" s="116"/>
      <c r="E102" s="112">
        <v>1</v>
      </c>
      <c r="F102" s="113" t="s">
        <v>93</v>
      </c>
      <c r="G102" s="112" t="s">
        <v>34</v>
      </c>
      <c r="H102" s="112" t="s">
        <v>49</v>
      </c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 s="7" customFormat="1" ht="15" hidden="1" customHeight="1" x14ac:dyDescent="0.2">
      <c r="A103" s="86" t="s">
        <v>96</v>
      </c>
      <c r="B103" s="116"/>
      <c r="C103" s="116"/>
      <c r="D103" s="113"/>
      <c r="E103" s="112">
        <v>1</v>
      </c>
      <c r="F103" s="113" t="s">
        <v>93</v>
      </c>
      <c r="G103" s="112" t="s">
        <v>54</v>
      </c>
      <c r="H103" s="112" t="s">
        <v>10</v>
      </c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18" s="7" customFormat="1" ht="15" hidden="1" customHeight="1" x14ac:dyDescent="0.2">
      <c r="A104" s="86" t="s">
        <v>97</v>
      </c>
      <c r="B104" s="111"/>
      <c r="C104" s="111"/>
      <c r="E104" s="112">
        <v>1</v>
      </c>
      <c r="F104" s="113" t="s">
        <v>93</v>
      </c>
      <c r="G104" s="112" t="s">
        <v>93</v>
      </c>
      <c r="H104" s="112" t="s">
        <v>8</v>
      </c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 s="7" customFormat="1" ht="15" hidden="1" customHeight="1" x14ac:dyDescent="0.2">
      <c r="A105" s="86" t="s">
        <v>98</v>
      </c>
      <c r="B105" s="116"/>
      <c r="C105" s="116"/>
      <c r="E105" s="112">
        <v>1</v>
      </c>
      <c r="F105" s="113" t="s">
        <v>93</v>
      </c>
      <c r="G105" s="112" t="s">
        <v>54</v>
      </c>
      <c r="H105" s="112" t="s">
        <v>15</v>
      </c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1:18" s="7" customFormat="1" ht="15" hidden="1" customHeight="1" x14ac:dyDescent="0.2">
      <c r="A106" s="86" t="s">
        <v>99</v>
      </c>
      <c r="B106" s="116"/>
      <c r="C106" s="116"/>
      <c r="D106" s="113"/>
      <c r="E106" s="112">
        <v>1</v>
      </c>
      <c r="F106" s="113" t="s">
        <v>93</v>
      </c>
      <c r="G106" s="112" t="s">
        <v>93</v>
      </c>
      <c r="H106" s="112" t="s">
        <v>10</v>
      </c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 s="7" customFormat="1" ht="15" customHeight="1" x14ac:dyDescent="0.2">
      <c r="A107" s="86" t="s">
        <v>100</v>
      </c>
      <c r="B107" s="111"/>
      <c r="C107" s="111"/>
      <c r="E107" s="112">
        <v>1</v>
      </c>
      <c r="F107" s="113" t="s">
        <v>93</v>
      </c>
      <c r="G107" s="112" t="s">
        <v>54</v>
      </c>
      <c r="H107" s="112" t="s">
        <v>19</v>
      </c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1:18" s="7" customFormat="1" ht="15" customHeight="1" x14ac:dyDescent="0.2">
      <c r="A108" s="86" t="s">
        <v>175</v>
      </c>
      <c r="B108" s="111"/>
      <c r="C108" s="111"/>
      <c r="E108" s="112">
        <v>1</v>
      </c>
      <c r="F108" s="113" t="s">
        <v>93</v>
      </c>
      <c r="G108" s="112" t="s">
        <v>29</v>
      </c>
      <c r="H108" s="112" t="s">
        <v>82</v>
      </c>
      <c r="J108" s="36">
        <v>9930500</v>
      </c>
      <c r="K108" s="36"/>
      <c r="L108" s="36"/>
      <c r="M108" s="36"/>
      <c r="N108" s="36">
        <f>P108-L108</f>
        <v>15000000</v>
      </c>
      <c r="O108" s="36"/>
      <c r="P108" s="36">
        <v>15000000</v>
      </c>
      <c r="Q108" s="36"/>
      <c r="R108" s="36">
        <v>6000000</v>
      </c>
    </row>
    <row r="109" spans="1:18" s="7" customFormat="1" ht="15" hidden="1" customHeight="1" x14ac:dyDescent="0.2">
      <c r="A109" s="86" t="s">
        <v>177</v>
      </c>
      <c r="B109" s="111"/>
      <c r="C109" s="111"/>
      <c r="E109" s="112">
        <v>1</v>
      </c>
      <c r="F109" s="113" t="s">
        <v>93</v>
      </c>
      <c r="G109" s="112" t="s">
        <v>54</v>
      </c>
      <c r="H109" s="112" t="s">
        <v>146</v>
      </c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1:18" s="7" customFormat="1" ht="15" hidden="1" customHeight="1" x14ac:dyDescent="0.2">
      <c r="A110" s="86" t="s">
        <v>101</v>
      </c>
      <c r="B110" s="111"/>
      <c r="C110" s="111"/>
      <c r="E110" s="112">
        <v>1</v>
      </c>
      <c r="F110" s="113" t="s">
        <v>93</v>
      </c>
      <c r="G110" s="112" t="s">
        <v>54</v>
      </c>
      <c r="H110" s="112" t="s">
        <v>102</v>
      </c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1:18" s="7" customFormat="1" ht="15" hidden="1" customHeight="1" x14ac:dyDescent="0.2">
      <c r="A111" s="86" t="s">
        <v>103</v>
      </c>
      <c r="B111" s="111"/>
      <c r="C111" s="111"/>
      <c r="E111" s="112">
        <v>1</v>
      </c>
      <c r="F111" s="113" t="s">
        <v>93</v>
      </c>
      <c r="G111" s="112" t="s">
        <v>54</v>
      </c>
      <c r="H111" s="112" t="s">
        <v>24</v>
      </c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1:18" s="7" customFormat="1" ht="15" hidden="1" customHeight="1" x14ac:dyDescent="0.2">
      <c r="A112" s="86" t="s">
        <v>104</v>
      </c>
      <c r="B112" s="111"/>
      <c r="C112" s="111"/>
      <c r="E112" s="112">
        <v>1</v>
      </c>
      <c r="F112" s="113" t="s">
        <v>93</v>
      </c>
      <c r="G112" s="112" t="s">
        <v>54</v>
      </c>
      <c r="H112" s="112" t="s">
        <v>28</v>
      </c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s="7" customFormat="1" ht="15" customHeight="1" x14ac:dyDescent="0.2">
      <c r="A113" s="86" t="s">
        <v>280</v>
      </c>
      <c r="B113" s="111"/>
      <c r="C113" s="111"/>
      <c r="D113" s="113"/>
      <c r="E113" s="112">
        <v>1</v>
      </c>
      <c r="F113" s="113" t="s">
        <v>93</v>
      </c>
      <c r="G113" s="112" t="s">
        <v>54</v>
      </c>
      <c r="H113" s="112" t="s">
        <v>45</v>
      </c>
      <c r="J113" s="36">
        <v>3399000</v>
      </c>
      <c r="K113" s="36"/>
      <c r="L113" s="36"/>
      <c r="M113" s="36"/>
      <c r="N113" s="36">
        <f t="shared" ref="N113:N118" si="2">P113-L113</f>
        <v>21920000</v>
      </c>
      <c r="O113" s="36"/>
      <c r="P113" s="36">
        <v>21920000</v>
      </c>
      <c r="Q113" s="36"/>
      <c r="R113" s="36">
        <v>3000000</v>
      </c>
    </row>
    <row r="114" spans="1:18" s="7" customFormat="1" ht="15" hidden="1" customHeight="1" x14ac:dyDescent="0.2">
      <c r="A114" s="86" t="s">
        <v>106</v>
      </c>
      <c r="B114" s="111"/>
      <c r="C114" s="111"/>
      <c r="D114" s="113"/>
      <c r="E114" s="112">
        <v>1</v>
      </c>
      <c r="F114" s="113" t="s">
        <v>93</v>
      </c>
      <c r="G114" s="112" t="s">
        <v>67</v>
      </c>
      <c r="H114" s="112" t="s">
        <v>8</v>
      </c>
      <c r="J114" s="36"/>
      <c r="K114" s="36"/>
      <c r="L114" s="36"/>
      <c r="M114" s="36"/>
      <c r="N114" s="36">
        <f t="shared" si="2"/>
        <v>0</v>
      </c>
      <c r="O114" s="36"/>
      <c r="P114" s="36"/>
      <c r="Q114" s="36"/>
      <c r="R114" s="36"/>
    </row>
    <row r="115" spans="1:18" s="7" customFormat="1" ht="15" customHeight="1" x14ac:dyDescent="0.2">
      <c r="A115" s="115" t="s">
        <v>261</v>
      </c>
      <c r="B115" s="111"/>
      <c r="C115" s="111"/>
      <c r="D115" s="113"/>
      <c r="E115" s="112">
        <v>1</v>
      </c>
      <c r="F115" s="113" t="s">
        <v>93</v>
      </c>
      <c r="G115" s="112" t="s">
        <v>67</v>
      </c>
      <c r="H115" s="112" t="s">
        <v>17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5" customHeight="1" x14ac:dyDescent="0.2">
      <c r="A116" s="86" t="s">
        <v>107</v>
      </c>
      <c r="B116" s="111"/>
      <c r="C116" s="111"/>
      <c r="D116" s="113"/>
      <c r="E116" s="112">
        <v>1</v>
      </c>
      <c r="F116" s="113" t="s">
        <v>93</v>
      </c>
      <c r="G116" s="114" t="s">
        <v>59</v>
      </c>
      <c r="H116" s="114" t="s">
        <v>49</v>
      </c>
      <c r="J116" s="36"/>
      <c r="K116" s="36"/>
      <c r="L116" s="36"/>
      <c r="M116" s="36"/>
      <c r="N116" s="36">
        <f>P116-L116</f>
        <v>5000000</v>
      </c>
      <c r="O116" s="36"/>
      <c r="P116" s="36">
        <v>5000000</v>
      </c>
      <c r="Q116" s="36"/>
      <c r="R116" s="36"/>
    </row>
    <row r="117" spans="1:18" s="7" customFormat="1" ht="12.75" hidden="1" customHeight="1" x14ac:dyDescent="0.2">
      <c r="A117" s="86" t="s">
        <v>107</v>
      </c>
      <c r="B117" s="111"/>
      <c r="C117" s="111"/>
      <c r="D117" s="113"/>
      <c r="E117" s="112">
        <v>1</v>
      </c>
      <c r="F117" s="113" t="s">
        <v>93</v>
      </c>
      <c r="G117" s="112" t="s">
        <v>59</v>
      </c>
      <c r="H117" s="114" t="s">
        <v>49</v>
      </c>
      <c r="J117" s="36"/>
      <c r="K117" s="36"/>
      <c r="L117" s="36"/>
      <c r="M117" s="36"/>
      <c r="N117" s="36">
        <f t="shared" si="2"/>
        <v>0</v>
      </c>
      <c r="O117" s="36"/>
      <c r="P117" s="36"/>
      <c r="Q117" s="36"/>
      <c r="R117" s="36"/>
    </row>
    <row r="118" spans="1:18" s="7" customFormat="1" ht="12.75" hidden="1" customHeight="1" x14ac:dyDescent="0.2">
      <c r="A118" s="86" t="s">
        <v>178</v>
      </c>
      <c r="B118" s="111"/>
      <c r="C118" s="111"/>
      <c r="D118" s="113"/>
      <c r="E118" s="112">
        <v>1</v>
      </c>
      <c r="F118" s="113" t="s">
        <v>93</v>
      </c>
      <c r="G118" s="112" t="s">
        <v>29</v>
      </c>
      <c r="H118" s="112" t="s">
        <v>8</v>
      </c>
      <c r="J118" s="36"/>
      <c r="K118" s="36"/>
      <c r="L118" s="36"/>
      <c r="M118" s="36"/>
      <c r="N118" s="36">
        <f t="shared" si="2"/>
        <v>0</v>
      </c>
      <c r="O118" s="36"/>
      <c r="P118" s="36"/>
      <c r="Q118" s="36"/>
      <c r="R118" s="36"/>
    </row>
    <row r="119" spans="1:18" s="7" customFormat="1" ht="18.75" customHeight="1" x14ac:dyDescent="0.2">
      <c r="A119" s="102" t="s">
        <v>108</v>
      </c>
      <c r="B119" s="26"/>
      <c r="C119" s="26"/>
      <c r="D119" s="27"/>
      <c r="E119" s="27"/>
      <c r="F119" s="27"/>
      <c r="G119" s="27"/>
      <c r="H119" s="27"/>
      <c r="I119" s="27"/>
      <c r="J119" s="21">
        <f>SUM(J98:J118)</f>
        <v>114942601.36</v>
      </c>
      <c r="K119" s="23"/>
      <c r="L119" s="21">
        <f>SUM(L98:L118)</f>
        <v>0</v>
      </c>
      <c r="M119" s="172"/>
      <c r="N119" s="21">
        <f>SUM(N98:N118)</f>
        <v>209920000</v>
      </c>
      <c r="O119" s="172"/>
      <c r="P119" s="21">
        <f>SUM(P98:P118)</f>
        <v>209920000</v>
      </c>
      <c r="Q119" s="172"/>
      <c r="R119" s="21">
        <f>SUM(R98:R118)</f>
        <v>90100000</v>
      </c>
    </row>
    <row r="120" spans="1:18" s="7" customFormat="1" ht="5.25" customHeight="1" x14ac:dyDescent="0.2">
      <c r="A120" s="63"/>
      <c r="B120" s="26"/>
      <c r="C120" s="26"/>
      <c r="D120" s="27"/>
      <c r="E120" s="27"/>
      <c r="F120" s="27"/>
      <c r="G120" s="27"/>
      <c r="H120" s="27"/>
      <c r="I120" s="27"/>
      <c r="J120" s="23"/>
      <c r="K120" s="23"/>
      <c r="L120" s="23"/>
      <c r="M120" s="172"/>
      <c r="N120" s="23"/>
      <c r="O120" s="172"/>
      <c r="P120" s="23"/>
      <c r="Q120" s="172"/>
      <c r="R120" s="23"/>
    </row>
    <row r="121" spans="1:18" s="7" customFormat="1" ht="16.5" customHeight="1" thickBot="1" x14ac:dyDescent="0.25">
      <c r="A121" s="11" t="s">
        <v>110</v>
      </c>
      <c r="B121" s="28"/>
      <c r="C121" s="28"/>
      <c r="J121" s="29">
        <f>J91+J119</f>
        <v>131641722.66</v>
      </c>
      <c r="K121" s="23"/>
      <c r="L121" s="29">
        <f>L91+L119</f>
        <v>66642517.950000003</v>
      </c>
      <c r="M121" s="29">
        <f>M91+M119</f>
        <v>0</v>
      </c>
      <c r="N121" s="29">
        <f>N91+N119</f>
        <v>246544047.75999999</v>
      </c>
      <c r="O121" s="29">
        <f>O91+O119</f>
        <v>0</v>
      </c>
      <c r="P121" s="29">
        <f>P91+P119</f>
        <v>313186565.70999998</v>
      </c>
      <c r="Q121" s="36"/>
      <c r="R121" s="29">
        <f>R91+R119</f>
        <v>252567147.81000003</v>
      </c>
    </row>
    <row r="122" spans="1:18" s="7" customFormat="1" ht="13.5" thickTop="1" x14ac:dyDescent="0.2">
      <c r="A122" s="31"/>
      <c r="B122" s="31"/>
      <c r="C122" s="31"/>
      <c r="D122" s="34"/>
      <c r="E122" s="31"/>
      <c r="F122" s="31"/>
      <c r="H122" s="35"/>
      <c r="I122" s="35"/>
      <c r="J122" s="35"/>
      <c r="K122" s="35"/>
      <c r="L122" s="35"/>
      <c r="M122" s="35"/>
    </row>
    <row r="123" spans="1:18" x14ac:dyDescent="0.2">
      <c r="A123" s="75"/>
      <c r="B123" s="321" t="s">
        <v>133</v>
      </c>
      <c r="C123" s="321"/>
      <c r="D123" s="33"/>
      <c r="E123" s="32"/>
      <c r="G123" s="31"/>
      <c r="I123" s="31"/>
      <c r="J123" s="321" t="s">
        <v>276</v>
      </c>
      <c r="K123" s="321"/>
      <c r="L123" s="321"/>
      <c r="M123" s="47"/>
      <c r="N123" s="49"/>
      <c r="O123" s="49"/>
      <c r="P123" s="48" t="s">
        <v>135</v>
      </c>
    </row>
    <row r="124" spans="1:18" ht="12" customHeight="1" x14ac:dyDescent="0.2">
      <c r="A124" s="50"/>
      <c r="B124" s="50"/>
      <c r="D124" s="33"/>
      <c r="E124" s="51"/>
      <c r="G124" s="31"/>
      <c r="I124" s="31"/>
      <c r="J124" s="168"/>
      <c r="M124" s="105"/>
      <c r="N124" s="36"/>
      <c r="O124" s="36"/>
      <c r="P124" s="51"/>
    </row>
    <row r="125" spans="1:18" ht="12" customHeight="1" x14ac:dyDescent="0.2">
      <c r="A125" s="50"/>
      <c r="B125" s="50"/>
      <c r="D125" s="33"/>
      <c r="E125" s="51"/>
      <c r="G125" s="31"/>
      <c r="I125" s="31"/>
      <c r="J125" s="168"/>
      <c r="M125" s="105"/>
      <c r="N125" s="36"/>
      <c r="O125" s="36"/>
      <c r="P125" s="51"/>
    </row>
    <row r="126" spans="1:18" ht="12" customHeight="1" x14ac:dyDescent="0.2">
      <c r="A126" s="52"/>
      <c r="B126" s="52"/>
      <c r="D126" s="31"/>
      <c r="E126" s="53"/>
      <c r="G126" s="31"/>
      <c r="I126" s="31"/>
      <c r="J126" s="31"/>
      <c r="M126" s="31"/>
      <c r="P126" s="53"/>
    </row>
    <row r="127" spans="1:18" x14ac:dyDescent="0.2">
      <c r="A127" s="76"/>
      <c r="B127" s="322" t="s">
        <v>257</v>
      </c>
      <c r="C127" s="322"/>
      <c r="D127" s="55"/>
      <c r="E127" s="56"/>
      <c r="G127" s="31"/>
      <c r="I127" s="31"/>
      <c r="J127" s="322" t="s">
        <v>291</v>
      </c>
      <c r="K127" s="322"/>
      <c r="L127" s="322"/>
      <c r="M127" s="57"/>
      <c r="N127" s="59"/>
      <c r="O127" s="59"/>
      <c r="P127" s="58" t="s">
        <v>137</v>
      </c>
    </row>
    <row r="128" spans="1:18" x14ac:dyDescent="0.2">
      <c r="A128" s="74"/>
      <c r="B128" s="321" t="s">
        <v>317</v>
      </c>
      <c r="C128" s="321"/>
      <c r="D128" s="321"/>
      <c r="E128" s="32"/>
      <c r="G128" s="31"/>
      <c r="I128" s="31"/>
      <c r="J128" s="321" t="s">
        <v>269</v>
      </c>
      <c r="K128" s="321"/>
      <c r="L128" s="321"/>
      <c r="M128" s="33"/>
      <c r="N128" s="35"/>
      <c r="O128" s="35"/>
      <c r="P128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122" activePane="bottomRight" state="frozen"/>
      <selection pane="bottomRight" activeCell="B127" sqref="B127:D128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87" activePane="bottomRight" state="frozen"/>
      <selection pane="bottomRight" activeCell="A103" sqref="A103:XFD103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35" activePane="bottomRight" state="frozen"/>
      <selection pane="bottomRight" activeCell="R35" sqref="R35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P88" sqref="P88"/>
      <rowBreaks count="1" manualBreakCount="1">
        <brk id="106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6">
    <mergeCell ref="B127:C127"/>
    <mergeCell ref="J127:L127"/>
    <mergeCell ref="J128:L128"/>
    <mergeCell ref="A13:C13"/>
    <mergeCell ref="E13:H13"/>
    <mergeCell ref="A91:C91"/>
    <mergeCell ref="A98:C98"/>
    <mergeCell ref="B123:C123"/>
    <mergeCell ref="J123:L123"/>
    <mergeCell ref="B128:D128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9"/>
  <sheetViews>
    <sheetView view="pageBreakPreview" zoomScaleNormal="85" zoomScaleSheetLayoutView="100"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C26" sqref="C2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255</v>
      </c>
      <c r="H4" s="3"/>
      <c r="I4" s="3"/>
      <c r="R4" s="78">
        <v>9999</v>
      </c>
    </row>
    <row r="5" spans="1:19" ht="15" customHeight="1" x14ac:dyDescent="0.2">
      <c r="A5" s="5" t="s">
        <v>119</v>
      </c>
      <c r="B5" s="2" t="s">
        <v>113</v>
      </c>
      <c r="C5" s="5" t="s">
        <v>256</v>
      </c>
    </row>
    <row r="6" spans="1:19" ht="15" customHeight="1" x14ac:dyDescent="0.2">
      <c r="A6" s="5" t="s">
        <v>120</v>
      </c>
      <c r="B6" s="2" t="s">
        <v>113</v>
      </c>
      <c r="C6" s="5" t="s">
        <v>258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79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66"/>
      <c r="B12" s="166"/>
      <c r="C12" s="166"/>
      <c r="D12" s="9"/>
      <c r="E12" s="166"/>
      <c r="F12" s="166"/>
      <c r="G12" s="166"/>
      <c r="H12" s="166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6" customHeight="1" x14ac:dyDescent="0.2">
      <c r="A16" s="68"/>
      <c r="B16" s="12"/>
      <c r="C16" s="12"/>
    </row>
    <row r="17" spans="1:18" s="7" customFormat="1" ht="12.75" customHeight="1" x14ac:dyDescent="0.2">
      <c r="A17" s="86" t="s">
        <v>80</v>
      </c>
      <c r="B17" s="111"/>
      <c r="C17" s="111"/>
      <c r="E17" s="32">
        <v>5</v>
      </c>
      <c r="F17" s="143" t="s">
        <v>12</v>
      </c>
      <c r="G17" s="32" t="s">
        <v>79</v>
      </c>
      <c r="H17" s="32" t="s">
        <v>15</v>
      </c>
      <c r="J17" s="7">
        <v>189000</v>
      </c>
      <c r="N17" s="7">
        <f>P17-L17</f>
        <v>189000</v>
      </c>
      <c r="P17" s="7">
        <v>189000</v>
      </c>
      <c r="R17" s="7">
        <v>189000</v>
      </c>
    </row>
    <row r="18" spans="1:18" s="7" customFormat="1" ht="18.95" customHeight="1" x14ac:dyDescent="0.2">
      <c r="A18" s="323" t="s">
        <v>191</v>
      </c>
      <c r="B18" s="323"/>
      <c r="C18" s="323"/>
      <c r="J18" s="22">
        <f>SUM(J17:J17)</f>
        <v>189000</v>
      </c>
      <c r="K18" s="18"/>
      <c r="L18" s="22"/>
      <c r="N18" s="22">
        <f>SUM(N17:N17)</f>
        <v>189000</v>
      </c>
      <c r="P18" s="22">
        <f>SUM(P17:P17)</f>
        <v>189000</v>
      </c>
      <c r="R18" s="22">
        <f>SUM(R17:R17)</f>
        <v>189000</v>
      </c>
    </row>
    <row r="19" spans="1:18" s="7" customFormat="1" ht="6" customHeight="1" x14ac:dyDescent="0.2"/>
    <row r="20" spans="1:18" s="7" customFormat="1" ht="20.100000000000001" customHeight="1" thickBot="1" x14ac:dyDescent="0.25">
      <c r="A20" s="11" t="s">
        <v>110</v>
      </c>
      <c r="B20" s="28"/>
      <c r="C20" s="28"/>
      <c r="J20" s="29">
        <f>J18</f>
        <v>189000</v>
      </c>
      <c r="K20" s="23"/>
      <c r="L20" s="29">
        <f>L18</f>
        <v>0</v>
      </c>
      <c r="N20" s="29">
        <f>N18</f>
        <v>189000</v>
      </c>
      <c r="P20" s="29">
        <f>P18</f>
        <v>189000</v>
      </c>
      <c r="R20" s="29">
        <f>R18</f>
        <v>189000</v>
      </c>
    </row>
    <row r="21" spans="1:18" s="7" customFormat="1" ht="13.5" thickTop="1" x14ac:dyDescent="0.2">
      <c r="A21" s="31"/>
      <c r="B21" s="31"/>
      <c r="C21" s="31"/>
      <c r="D21" s="34"/>
      <c r="E21" s="31"/>
      <c r="F21" s="31"/>
      <c r="H21" s="35"/>
      <c r="I21" s="35"/>
      <c r="J21" s="35"/>
      <c r="K21" s="35"/>
      <c r="L21" s="35"/>
      <c r="M21" s="35"/>
    </row>
    <row r="22" spans="1:18" s="7" customFormat="1" x14ac:dyDescent="0.2"/>
    <row r="23" spans="1:18" s="7" customFormat="1" x14ac:dyDescent="0.2"/>
    <row r="24" spans="1:18" x14ac:dyDescent="0.2">
      <c r="A24" s="46"/>
      <c r="C24" s="168" t="s">
        <v>276</v>
      </c>
      <c r="D24" s="33"/>
      <c r="E24" s="32"/>
      <c r="G24" s="31"/>
      <c r="I24" s="31"/>
      <c r="M24" s="47"/>
      <c r="N24" s="311" t="s">
        <v>135</v>
      </c>
      <c r="O24" s="311"/>
      <c r="P24" s="311"/>
    </row>
    <row r="25" spans="1:18" x14ac:dyDescent="0.2">
      <c r="A25" s="46"/>
      <c r="C25" s="168"/>
      <c r="D25" s="33"/>
      <c r="E25" s="32"/>
      <c r="G25" s="31"/>
      <c r="I25" s="31"/>
      <c r="M25" s="47"/>
      <c r="N25" s="108"/>
      <c r="O25" s="108"/>
      <c r="P25" s="108"/>
    </row>
    <row r="26" spans="1:18" x14ac:dyDescent="0.2">
      <c r="A26" s="50"/>
      <c r="C26" s="168"/>
      <c r="D26" s="33"/>
      <c r="E26" s="51"/>
      <c r="G26" s="31"/>
      <c r="I26" s="31"/>
      <c r="M26" s="109"/>
      <c r="N26" s="36"/>
      <c r="O26" s="36"/>
      <c r="P26" s="51"/>
    </row>
    <row r="27" spans="1:18" x14ac:dyDescent="0.2">
      <c r="A27" s="52"/>
      <c r="C27" s="31"/>
      <c r="D27" s="31"/>
      <c r="E27" s="53"/>
      <c r="G27" s="31"/>
      <c r="I27" s="31"/>
      <c r="M27" s="31"/>
      <c r="P27" s="53"/>
    </row>
    <row r="28" spans="1:18" x14ac:dyDescent="0.2">
      <c r="A28" s="54"/>
      <c r="C28" s="110" t="s">
        <v>291</v>
      </c>
      <c r="D28" s="55"/>
      <c r="E28" s="56"/>
      <c r="G28" s="31"/>
      <c r="I28" s="31"/>
      <c r="M28" s="57"/>
      <c r="N28" s="312" t="s">
        <v>137</v>
      </c>
      <c r="O28" s="312"/>
      <c r="P28" s="312"/>
    </row>
    <row r="29" spans="1:18" x14ac:dyDescent="0.2">
      <c r="A29" s="52"/>
      <c r="C29" s="109" t="s">
        <v>269</v>
      </c>
      <c r="D29" s="31"/>
      <c r="E29" s="32"/>
      <c r="G29" s="31"/>
      <c r="I29" s="31"/>
      <c r="M29" s="33"/>
      <c r="N29" s="313" t="s">
        <v>139</v>
      </c>
      <c r="O29" s="313"/>
      <c r="P29" s="313"/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C26" sqref="C26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R24" sqref="R23:R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8" activePane="bottomRight" state="frozen"/>
      <selection pane="bottomRight" activeCell="P18" sqref="P18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24:P24"/>
    <mergeCell ref="N28:P28"/>
    <mergeCell ref="N29:P29"/>
    <mergeCell ref="A13:C13"/>
    <mergeCell ref="E13:H13"/>
    <mergeCell ref="A18:C18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3"/>
  <sheetViews>
    <sheetView tabSelected="1" workbookViewId="0">
      <selection activeCell="I20" sqref="I20"/>
    </sheetView>
  </sheetViews>
  <sheetFormatPr defaultRowHeight="14.25" x14ac:dyDescent="0.2"/>
  <cols>
    <col min="1" max="1" width="31.5546875" style="233" customWidth="1"/>
    <col min="2" max="3" width="9.88671875" style="233" customWidth="1"/>
    <col min="4" max="8" width="12.21875" style="233" customWidth="1"/>
    <col min="9" max="9" width="10.21875" style="233" bestFit="1" customWidth="1"/>
    <col min="10" max="17" width="8.88671875" style="233"/>
    <col min="18" max="18" width="12.109375" style="233" customWidth="1"/>
    <col min="19" max="16384" width="8.88671875" style="233"/>
  </cols>
  <sheetData>
    <row r="1" spans="1:17" x14ac:dyDescent="0.2">
      <c r="A1" s="232" t="s">
        <v>350</v>
      </c>
      <c r="H1" s="234"/>
    </row>
    <row r="2" spans="1:17" x14ac:dyDescent="0.2">
      <c r="A2" s="232" t="s">
        <v>351</v>
      </c>
    </row>
    <row r="4" spans="1:17" ht="15.75" x14ac:dyDescent="0.25">
      <c r="A4" s="337" t="s">
        <v>352</v>
      </c>
      <c r="B4" s="337"/>
      <c r="C4" s="337"/>
      <c r="D4" s="337"/>
      <c r="E4" s="337"/>
      <c r="F4" s="337"/>
      <c r="G4" s="337"/>
      <c r="H4" s="337"/>
      <c r="I4" s="235"/>
      <c r="J4" s="235"/>
      <c r="K4" s="235"/>
      <c r="L4" s="235"/>
      <c r="M4" s="235"/>
      <c r="N4" s="235"/>
      <c r="O4" s="235"/>
      <c r="P4" s="235"/>
      <c r="Q4" s="235"/>
    </row>
    <row r="5" spans="1:17" ht="15.75" x14ac:dyDescent="0.25">
      <c r="A5" s="337" t="s">
        <v>353</v>
      </c>
      <c r="B5" s="337"/>
      <c r="C5" s="337"/>
      <c r="D5" s="337"/>
      <c r="E5" s="337"/>
      <c r="F5" s="337"/>
      <c r="G5" s="337"/>
      <c r="H5" s="337"/>
      <c r="I5" s="235"/>
      <c r="J5" s="235"/>
      <c r="K5" s="235"/>
      <c r="L5" s="235"/>
      <c r="M5" s="235"/>
      <c r="N5" s="235"/>
      <c r="O5" s="235"/>
      <c r="P5" s="235"/>
      <c r="Q5" s="235"/>
    </row>
    <row r="7" spans="1:17" x14ac:dyDescent="0.2">
      <c r="A7" s="338" t="s">
        <v>354</v>
      </c>
      <c r="B7" s="338" t="s">
        <v>112</v>
      </c>
      <c r="C7" s="338" t="s">
        <v>355</v>
      </c>
      <c r="D7" s="338" t="s">
        <v>356</v>
      </c>
      <c r="E7" s="340" t="s">
        <v>357</v>
      </c>
      <c r="F7" s="340"/>
      <c r="G7" s="340"/>
      <c r="H7" s="338" t="s">
        <v>358</v>
      </c>
      <c r="I7" s="233" t="s">
        <v>281</v>
      </c>
    </row>
    <row r="8" spans="1:17" x14ac:dyDescent="0.2">
      <c r="A8" s="339"/>
      <c r="B8" s="339"/>
      <c r="C8" s="339"/>
      <c r="D8" s="339"/>
      <c r="E8" s="236" t="s">
        <v>123</v>
      </c>
      <c r="F8" s="237" t="s">
        <v>125</v>
      </c>
      <c r="G8" s="341" t="s">
        <v>127</v>
      </c>
      <c r="H8" s="339"/>
    </row>
    <row r="9" spans="1:17" x14ac:dyDescent="0.2">
      <c r="A9" s="339"/>
      <c r="B9" s="339"/>
      <c r="C9" s="339"/>
      <c r="D9" s="339"/>
      <c r="E9" s="236" t="s">
        <v>124</v>
      </c>
      <c r="F9" s="237" t="s">
        <v>126</v>
      </c>
      <c r="G9" s="341"/>
      <c r="H9" s="339"/>
    </row>
    <row r="10" spans="1:17" x14ac:dyDescent="0.2">
      <c r="A10" s="238">
        <v>1</v>
      </c>
      <c r="B10" s="238">
        <v>2</v>
      </c>
      <c r="C10" s="238">
        <v>3</v>
      </c>
      <c r="D10" s="238">
        <v>4</v>
      </c>
      <c r="E10" s="239">
        <v>5</v>
      </c>
      <c r="F10" s="240">
        <v>6</v>
      </c>
      <c r="G10" s="239">
        <v>7</v>
      </c>
      <c r="H10" s="238">
        <v>8</v>
      </c>
    </row>
    <row r="11" spans="1:17" ht="15" x14ac:dyDescent="0.25">
      <c r="A11" s="241"/>
      <c r="B11" s="241"/>
      <c r="C11" s="241"/>
      <c r="D11" s="241"/>
      <c r="E11" s="242"/>
      <c r="F11" s="243"/>
      <c r="G11" s="242"/>
      <c r="H11" s="241"/>
    </row>
    <row r="12" spans="1:17" x14ac:dyDescent="0.2">
      <c r="A12" s="244" t="s">
        <v>359</v>
      </c>
      <c r="B12" s="245"/>
      <c r="C12" s="245"/>
      <c r="D12" s="245"/>
      <c r="E12" s="246">
        <v>87803331.549999997</v>
      </c>
      <c r="F12" s="247">
        <f>G12-E12</f>
        <v>0</v>
      </c>
      <c r="G12" s="246">
        <v>87803331.549999997</v>
      </c>
      <c r="H12" s="248">
        <v>0</v>
      </c>
      <c r="I12" s="249"/>
    </row>
    <row r="13" spans="1:17" x14ac:dyDescent="0.2">
      <c r="A13" s="244" t="s">
        <v>360</v>
      </c>
      <c r="B13" s="245"/>
      <c r="C13" s="245"/>
      <c r="D13" s="245"/>
      <c r="E13" s="245"/>
      <c r="F13" s="245"/>
      <c r="G13" s="245"/>
      <c r="H13" s="245"/>
      <c r="I13" s="249"/>
    </row>
    <row r="14" spans="1:17" x14ac:dyDescent="0.2">
      <c r="A14" s="250" t="s">
        <v>361</v>
      </c>
      <c r="B14" s="245"/>
      <c r="C14" s="245"/>
      <c r="D14" s="245"/>
      <c r="E14" s="245"/>
      <c r="F14" s="245"/>
      <c r="G14" s="245"/>
      <c r="H14" s="245"/>
      <c r="I14" s="249"/>
    </row>
    <row r="15" spans="1:17" x14ac:dyDescent="0.2">
      <c r="A15" s="251" t="s">
        <v>362</v>
      </c>
      <c r="B15" s="249"/>
      <c r="C15" s="245"/>
      <c r="D15" s="245"/>
      <c r="E15" s="245"/>
      <c r="F15" s="245"/>
      <c r="G15" s="245"/>
      <c r="H15" s="245"/>
      <c r="I15" s="249"/>
    </row>
    <row r="16" spans="1:17" x14ac:dyDescent="0.2">
      <c r="A16" s="252" t="s">
        <v>363</v>
      </c>
      <c r="B16" s="253" t="s">
        <v>364</v>
      </c>
      <c r="C16" s="253" t="s">
        <v>365</v>
      </c>
      <c r="D16" s="254">
        <f>SUM(D17:D19)</f>
        <v>360534534.06</v>
      </c>
      <c r="E16" s="254">
        <f t="shared" ref="E16:F16" si="0">SUM(E17:E19)</f>
        <v>195604296.71000001</v>
      </c>
      <c r="F16" s="254">
        <f t="shared" si="0"/>
        <v>295195703.29000002</v>
      </c>
      <c r="G16" s="254">
        <f>SUM(G17:G19)</f>
        <v>490800000</v>
      </c>
      <c r="H16" s="254">
        <f>SUM(H17:H19)</f>
        <v>490800000</v>
      </c>
      <c r="I16" s="249"/>
    </row>
    <row r="17" spans="1:9" x14ac:dyDescent="0.2">
      <c r="A17" s="255" t="s">
        <v>366</v>
      </c>
      <c r="B17" s="245"/>
      <c r="C17" s="245"/>
      <c r="D17" s="256">
        <v>267433533.93000001</v>
      </c>
      <c r="E17" s="248">
        <v>170485127.15000001</v>
      </c>
      <c r="F17" s="248">
        <v>212514872.84999999</v>
      </c>
      <c r="G17" s="256">
        <v>383000000</v>
      </c>
      <c r="H17" s="256">
        <v>383000000</v>
      </c>
      <c r="I17" s="249"/>
    </row>
    <row r="18" spans="1:9" x14ac:dyDescent="0.2">
      <c r="A18" s="255" t="s">
        <v>367</v>
      </c>
      <c r="B18" s="245"/>
      <c r="C18" s="245"/>
      <c r="D18" s="256">
        <v>62417430</v>
      </c>
      <c r="E18" s="248">
        <v>17257724.789999999</v>
      </c>
      <c r="F18" s="248">
        <v>59742275.210000001</v>
      </c>
      <c r="G18" s="256">
        <v>77000000</v>
      </c>
      <c r="H18" s="256">
        <v>77000000</v>
      </c>
      <c r="I18" s="249"/>
    </row>
    <row r="19" spans="1:9" x14ac:dyDescent="0.2">
      <c r="A19" s="255" t="s">
        <v>368</v>
      </c>
      <c r="B19" s="253" t="s">
        <v>369</v>
      </c>
      <c r="C19" s="245"/>
      <c r="D19" s="256">
        <v>30683570.129999999</v>
      </c>
      <c r="E19" s="248">
        <v>7861444.7699999996</v>
      </c>
      <c r="F19" s="248">
        <v>22938555.23</v>
      </c>
      <c r="G19" s="256">
        <v>30800000</v>
      </c>
      <c r="H19" s="256">
        <v>30800000</v>
      </c>
      <c r="I19" s="249"/>
    </row>
    <row r="20" spans="1:9" x14ac:dyDescent="0.2">
      <c r="A20" s="252" t="s">
        <v>370</v>
      </c>
      <c r="B20" s="257"/>
      <c r="C20" s="245"/>
      <c r="D20" s="254">
        <f>SUM(D22:D26)</f>
        <v>81231328.890000001</v>
      </c>
      <c r="E20" s="254">
        <f t="shared" ref="E20:F20" si="1">SUM(E22:E26)</f>
        <v>40081811.799999997</v>
      </c>
      <c r="F20" s="254">
        <f t="shared" si="1"/>
        <v>48718188.200000003</v>
      </c>
      <c r="G20" s="254">
        <f>SUM(G22:G26)</f>
        <v>88800000</v>
      </c>
      <c r="H20" s="254">
        <f>SUM(H22:H26)</f>
        <v>88800000</v>
      </c>
      <c r="I20" s="249"/>
    </row>
    <row r="21" spans="1:9" x14ac:dyDescent="0.2">
      <c r="A21" s="255" t="s">
        <v>371</v>
      </c>
      <c r="B21" s="249"/>
      <c r="C21" s="245"/>
      <c r="D21" s="248"/>
      <c r="E21" s="248"/>
      <c r="F21" s="248"/>
      <c r="G21" s="248"/>
      <c r="H21" s="248"/>
      <c r="I21" s="249"/>
    </row>
    <row r="22" spans="1:9" x14ac:dyDescent="0.2">
      <c r="A22" s="258" t="s">
        <v>372</v>
      </c>
      <c r="B22" s="253" t="s">
        <v>373</v>
      </c>
      <c r="C22" s="253" t="s">
        <v>365</v>
      </c>
      <c r="D22" s="256">
        <v>1439380.35</v>
      </c>
      <c r="E22" s="248"/>
      <c r="F22" s="248">
        <v>3600000</v>
      </c>
      <c r="G22" s="256">
        <v>3600000</v>
      </c>
      <c r="H22" s="256">
        <v>3600000</v>
      </c>
      <c r="I22" s="249"/>
    </row>
    <row r="23" spans="1:9" x14ac:dyDescent="0.2">
      <c r="A23" s="255" t="s">
        <v>374</v>
      </c>
      <c r="B23" s="253" t="s">
        <v>375</v>
      </c>
      <c r="C23" s="253" t="s">
        <v>365</v>
      </c>
      <c r="D23" s="256">
        <v>3883500</v>
      </c>
      <c r="E23" s="248">
        <v>2525000</v>
      </c>
      <c r="F23" s="248">
        <v>2975000</v>
      </c>
      <c r="G23" s="256">
        <v>5500000</v>
      </c>
      <c r="H23" s="256">
        <v>5500000</v>
      </c>
      <c r="I23" s="249"/>
    </row>
    <row r="24" spans="1:9" x14ac:dyDescent="0.2">
      <c r="A24" s="255" t="s">
        <v>376</v>
      </c>
      <c r="B24" s="253" t="s">
        <v>377</v>
      </c>
      <c r="C24" s="253" t="s">
        <v>365</v>
      </c>
      <c r="D24" s="256">
        <v>9147615.6999999993</v>
      </c>
      <c r="E24" s="248">
        <v>939367.89</v>
      </c>
      <c r="F24" s="248">
        <v>6960632.1100000003</v>
      </c>
      <c r="G24" s="256">
        <v>7900000</v>
      </c>
      <c r="H24" s="256">
        <v>7900000</v>
      </c>
      <c r="I24" s="249"/>
    </row>
    <row r="25" spans="1:9" x14ac:dyDescent="0.2">
      <c r="A25" s="255" t="s">
        <v>378</v>
      </c>
      <c r="B25" s="253" t="s">
        <v>379</v>
      </c>
      <c r="C25" s="253" t="s">
        <v>365</v>
      </c>
      <c r="D25" s="256">
        <v>63933273.710000001</v>
      </c>
      <c r="E25" s="248">
        <v>34855576.939999998</v>
      </c>
      <c r="F25" s="248">
        <v>33144423.059999999</v>
      </c>
      <c r="G25" s="256">
        <v>68000000</v>
      </c>
      <c r="H25" s="256">
        <v>68000000</v>
      </c>
      <c r="I25" s="249"/>
    </row>
    <row r="26" spans="1:9" x14ac:dyDescent="0.2">
      <c r="A26" s="255" t="s">
        <v>380</v>
      </c>
      <c r="B26" s="253" t="s">
        <v>381</v>
      </c>
      <c r="C26" s="253" t="s">
        <v>365</v>
      </c>
      <c r="D26" s="256">
        <v>2827559.13</v>
      </c>
      <c r="E26" s="248">
        <v>1761866.97</v>
      </c>
      <c r="F26" s="248">
        <v>2038133.03</v>
      </c>
      <c r="G26" s="256">
        <v>3800000</v>
      </c>
      <c r="H26" s="256">
        <v>3800000</v>
      </c>
      <c r="I26" s="249"/>
    </row>
    <row r="27" spans="1:9" x14ac:dyDescent="0.2">
      <c r="A27" s="252" t="s">
        <v>382</v>
      </c>
      <c r="B27" s="253"/>
      <c r="C27" s="245"/>
      <c r="D27" s="254">
        <f>D28+D29+D30+D37</f>
        <v>89946938.069999993</v>
      </c>
      <c r="E27" s="254">
        <f t="shared" ref="E27:F27" si="2">E28+E29+E30+E37</f>
        <v>22637387.849999998</v>
      </c>
      <c r="F27" s="254">
        <f t="shared" si="2"/>
        <v>63531112.149999999</v>
      </c>
      <c r="G27" s="254">
        <f>G28+G29+G30+G37</f>
        <v>86168500</v>
      </c>
      <c r="H27" s="254">
        <f>H28+H29+H30+H37</f>
        <v>86168500</v>
      </c>
      <c r="I27" s="249"/>
    </row>
    <row r="28" spans="1:9" x14ac:dyDescent="0.2">
      <c r="A28" s="255" t="s">
        <v>383</v>
      </c>
      <c r="B28" s="253" t="s">
        <v>384</v>
      </c>
      <c r="C28" s="253" t="s">
        <v>365</v>
      </c>
      <c r="D28" s="256">
        <v>1944600</v>
      </c>
      <c r="E28" s="248">
        <v>1641300</v>
      </c>
      <c r="F28" s="248">
        <v>558700</v>
      </c>
      <c r="G28" s="256">
        <v>2200000</v>
      </c>
      <c r="H28" s="256">
        <v>2200000</v>
      </c>
      <c r="I28" s="249"/>
    </row>
    <row r="29" spans="1:9" x14ac:dyDescent="0.2">
      <c r="A29" s="259" t="s">
        <v>385</v>
      </c>
      <c r="B29" s="260" t="s">
        <v>386</v>
      </c>
      <c r="C29" s="260" t="s">
        <v>365</v>
      </c>
      <c r="D29" s="261">
        <v>83336742.099999994</v>
      </c>
      <c r="E29" s="254">
        <v>20163944.309999999</v>
      </c>
      <c r="F29" s="254">
        <v>59836055.689999998</v>
      </c>
      <c r="G29" s="261">
        <v>80000000</v>
      </c>
      <c r="H29" s="261">
        <v>80000000</v>
      </c>
      <c r="I29" s="249"/>
    </row>
    <row r="30" spans="1:9" x14ac:dyDescent="0.2">
      <c r="A30" s="262" t="s">
        <v>387</v>
      </c>
      <c r="B30" s="263" t="s">
        <v>388</v>
      </c>
      <c r="C30" s="263" t="s">
        <v>365</v>
      </c>
      <c r="D30" s="264">
        <f>SUM(D31:D36)</f>
        <v>938620</v>
      </c>
      <c r="E30" s="264">
        <f t="shared" ref="E30:F30" si="3">SUM(E31:E36)</f>
        <v>67000</v>
      </c>
      <c r="F30" s="264">
        <f t="shared" si="3"/>
        <v>996000</v>
      </c>
      <c r="G30" s="264">
        <f>SUM(G31:G36)</f>
        <v>1063000</v>
      </c>
      <c r="H30" s="264">
        <f>SUM(H31:H36)</f>
        <v>1063000</v>
      </c>
      <c r="I30" s="249"/>
    </row>
    <row r="31" spans="1:9" x14ac:dyDescent="0.2">
      <c r="A31" s="265" t="s">
        <v>389</v>
      </c>
      <c r="B31" s="253"/>
      <c r="C31" s="245"/>
      <c r="D31" s="256">
        <v>1000</v>
      </c>
      <c r="E31" s="248">
        <v>2000</v>
      </c>
      <c r="F31" s="248">
        <v>1000</v>
      </c>
      <c r="G31" s="256">
        <v>3000</v>
      </c>
      <c r="H31" s="256">
        <v>3000</v>
      </c>
      <c r="I31" s="249"/>
    </row>
    <row r="32" spans="1:9" x14ac:dyDescent="0.2">
      <c r="A32" s="265" t="s">
        <v>390</v>
      </c>
      <c r="B32" s="253"/>
      <c r="C32" s="245"/>
      <c r="D32" s="256">
        <v>40000</v>
      </c>
      <c r="E32" s="248">
        <v>15000</v>
      </c>
      <c r="F32" s="248">
        <v>50000</v>
      </c>
      <c r="G32" s="256">
        <v>65000</v>
      </c>
      <c r="H32" s="256">
        <v>65000</v>
      </c>
      <c r="I32" s="249"/>
    </row>
    <row r="33" spans="1:9" x14ac:dyDescent="0.2">
      <c r="A33" s="265" t="s">
        <v>391</v>
      </c>
      <c r="B33" s="253"/>
      <c r="C33" s="245"/>
      <c r="D33" s="256">
        <v>78000</v>
      </c>
      <c r="E33" s="248"/>
      <c r="F33" s="248">
        <v>80000</v>
      </c>
      <c r="G33" s="256">
        <v>80000</v>
      </c>
      <c r="H33" s="256">
        <v>80000</v>
      </c>
      <c r="I33" s="249"/>
    </row>
    <row r="34" spans="1:9" x14ac:dyDescent="0.2">
      <c r="A34" s="265" t="s">
        <v>392</v>
      </c>
      <c r="B34" s="253"/>
      <c r="C34" s="245"/>
      <c r="D34" s="256">
        <v>384620</v>
      </c>
      <c r="E34" s="248"/>
      <c r="F34" s="248">
        <v>800000</v>
      </c>
      <c r="G34" s="256">
        <v>800000</v>
      </c>
      <c r="H34" s="256">
        <v>800000</v>
      </c>
      <c r="I34" s="249"/>
    </row>
    <row r="35" spans="1:9" x14ac:dyDescent="0.2">
      <c r="A35" s="265" t="s">
        <v>393</v>
      </c>
      <c r="B35" s="253"/>
      <c r="C35" s="245"/>
      <c r="D35" s="256">
        <v>430000</v>
      </c>
      <c r="E35" s="248">
        <v>50000</v>
      </c>
      <c r="F35" s="248">
        <v>50000</v>
      </c>
      <c r="G35" s="256">
        <v>100000</v>
      </c>
      <c r="H35" s="256">
        <v>100000</v>
      </c>
      <c r="I35" s="249"/>
    </row>
    <row r="36" spans="1:9" x14ac:dyDescent="0.2">
      <c r="A36" s="265" t="s">
        <v>394</v>
      </c>
      <c r="B36" s="253"/>
      <c r="C36" s="245"/>
      <c r="D36" s="256">
        <v>5000</v>
      </c>
      <c r="E36" s="248"/>
      <c r="F36" s="248">
        <v>15000</v>
      </c>
      <c r="G36" s="256">
        <v>15000</v>
      </c>
      <c r="H36" s="256">
        <v>15000</v>
      </c>
      <c r="I36" s="249"/>
    </row>
    <row r="37" spans="1:9" x14ac:dyDescent="0.2">
      <c r="A37" s="255" t="s">
        <v>395</v>
      </c>
      <c r="B37" s="253"/>
      <c r="C37" s="245"/>
      <c r="D37" s="261">
        <f>SUM(D38:D40)</f>
        <v>3726975.9699999997</v>
      </c>
      <c r="E37" s="261">
        <f t="shared" ref="E37:F37" si="4">SUM(E38:E40)</f>
        <v>765143.54</v>
      </c>
      <c r="F37" s="261">
        <f t="shared" si="4"/>
        <v>2140356.46</v>
      </c>
      <c r="G37" s="261">
        <f>SUM(G38:G40)</f>
        <v>2905500</v>
      </c>
      <c r="H37" s="261">
        <f>SUM(H38:H40)</f>
        <v>2905500</v>
      </c>
      <c r="I37" s="249"/>
    </row>
    <row r="38" spans="1:9" x14ac:dyDescent="0.2">
      <c r="A38" s="265" t="s">
        <v>396</v>
      </c>
      <c r="B38" s="253" t="s">
        <v>397</v>
      </c>
      <c r="C38" s="253" t="s">
        <v>365</v>
      </c>
      <c r="D38" s="256">
        <v>56968</v>
      </c>
      <c r="E38" s="248">
        <v>13998</v>
      </c>
      <c r="F38" s="248">
        <v>36002</v>
      </c>
      <c r="G38" s="256">
        <v>50000</v>
      </c>
      <c r="H38" s="256">
        <v>50000</v>
      </c>
      <c r="I38" s="249"/>
    </row>
    <row r="39" spans="1:9" x14ac:dyDescent="0.2">
      <c r="A39" s="265" t="s">
        <v>398</v>
      </c>
      <c r="B39" s="253" t="s">
        <v>369</v>
      </c>
      <c r="C39" s="253" t="s">
        <v>365</v>
      </c>
      <c r="D39" s="256">
        <v>3510525.84</v>
      </c>
      <c r="E39" s="248">
        <v>723817.18</v>
      </c>
      <c r="F39" s="248">
        <v>1776182.82</v>
      </c>
      <c r="G39" s="256">
        <v>2500000</v>
      </c>
      <c r="H39" s="256">
        <v>2500000</v>
      </c>
      <c r="I39" s="249"/>
    </row>
    <row r="40" spans="1:9" x14ac:dyDescent="0.2">
      <c r="A40" s="265" t="s">
        <v>399</v>
      </c>
      <c r="B40" s="253" t="s">
        <v>400</v>
      </c>
      <c r="C40" s="253" t="s">
        <v>365</v>
      </c>
      <c r="D40" s="256">
        <v>159482.13</v>
      </c>
      <c r="E40" s="248">
        <v>27328.36</v>
      </c>
      <c r="F40" s="248">
        <v>328171.64</v>
      </c>
      <c r="G40" s="256">
        <v>355500</v>
      </c>
      <c r="H40" s="256">
        <v>355500</v>
      </c>
      <c r="I40" s="249"/>
    </row>
    <row r="41" spans="1:9" x14ac:dyDescent="0.2">
      <c r="A41" s="266" t="s">
        <v>401</v>
      </c>
      <c r="B41" s="253"/>
      <c r="C41" s="245"/>
      <c r="D41" s="267">
        <f>D16+D20+D27</f>
        <v>531712801.01999998</v>
      </c>
      <c r="E41" s="267">
        <f t="shared" ref="E41:F41" si="5">E16+E20+E27</f>
        <v>258323496.35999998</v>
      </c>
      <c r="F41" s="267">
        <f t="shared" si="5"/>
        <v>407445003.63999999</v>
      </c>
      <c r="G41" s="267">
        <f>G16+G20+G27</f>
        <v>665768500</v>
      </c>
      <c r="H41" s="267">
        <f>H16+H20+H27</f>
        <v>665768500</v>
      </c>
      <c r="I41" s="249"/>
    </row>
    <row r="42" spans="1:9" x14ac:dyDescent="0.2">
      <c r="A42" s="251" t="s">
        <v>402</v>
      </c>
      <c r="B42" s="253"/>
      <c r="C42" s="245"/>
      <c r="D42" s="248"/>
      <c r="E42" s="248"/>
      <c r="F42" s="248"/>
      <c r="G42" s="248"/>
      <c r="H42" s="248"/>
      <c r="I42" s="249"/>
    </row>
    <row r="43" spans="1:9" x14ac:dyDescent="0.2">
      <c r="A43" s="252" t="s">
        <v>403</v>
      </c>
      <c r="B43" s="253"/>
      <c r="C43" s="245"/>
      <c r="D43" s="254">
        <f>D44+D46+D50</f>
        <v>3687041</v>
      </c>
      <c r="E43" s="254">
        <f>E44+E46+E50</f>
        <v>1030390</v>
      </c>
      <c r="F43" s="254">
        <f>F44+F46+F50</f>
        <v>2479610</v>
      </c>
      <c r="G43" s="254">
        <f>G44+G46+G50</f>
        <v>3510000</v>
      </c>
      <c r="H43" s="254">
        <f>H44+H46+H50</f>
        <v>3510000</v>
      </c>
      <c r="I43" s="249"/>
    </row>
    <row r="44" spans="1:9" x14ac:dyDescent="0.2">
      <c r="A44" s="255" t="s">
        <v>404</v>
      </c>
      <c r="B44" s="253" t="s">
        <v>405</v>
      </c>
      <c r="C44" s="253" t="s">
        <v>365</v>
      </c>
      <c r="D44" s="256">
        <f>SUM(D45)</f>
        <v>117650</v>
      </c>
      <c r="E44" s="248">
        <v>39200</v>
      </c>
      <c r="F44" s="248">
        <v>220800</v>
      </c>
      <c r="G44" s="256">
        <f>SUM(G45)</f>
        <v>260000</v>
      </c>
      <c r="H44" s="256">
        <f>SUM(H45)</f>
        <v>260000</v>
      </c>
      <c r="I44" s="249"/>
    </row>
    <row r="45" spans="1:9" x14ac:dyDescent="0.2">
      <c r="A45" s="265" t="s">
        <v>406</v>
      </c>
      <c r="B45" s="253"/>
      <c r="C45" s="245"/>
      <c r="D45" s="256">
        <v>117650</v>
      </c>
      <c r="E45" s="248">
        <v>39200</v>
      </c>
      <c r="F45" s="248">
        <v>220800</v>
      </c>
      <c r="G45" s="256">
        <v>260000</v>
      </c>
      <c r="H45" s="256">
        <v>260000</v>
      </c>
      <c r="I45" s="249"/>
    </row>
    <row r="46" spans="1:9" x14ac:dyDescent="0.2">
      <c r="A46" s="255" t="s">
        <v>407</v>
      </c>
      <c r="B46" s="253" t="s">
        <v>408</v>
      </c>
      <c r="C46" s="253" t="s">
        <v>365</v>
      </c>
      <c r="D46" s="256">
        <f>SUM(D47:D49)</f>
        <v>3081641</v>
      </c>
      <c r="E46" s="248">
        <v>938790</v>
      </c>
      <c r="F46" s="248">
        <v>2211210</v>
      </c>
      <c r="G46" s="256">
        <f>SUM(G47:G49)</f>
        <v>3150000</v>
      </c>
      <c r="H46" s="256">
        <f>SUM(H47:H49)</f>
        <v>3150000</v>
      </c>
      <c r="I46" s="249"/>
    </row>
    <row r="47" spans="1:9" x14ac:dyDescent="0.2">
      <c r="A47" s="265" t="s">
        <v>409</v>
      </c>
      <c r="B47" s="253"/>
      <c r="C47" s="245"/>
      <c r="D47" s="256">
        <v>1312381</v>
      </c>
      <c r="E47" s="248">
        <v>413460</v>
      </c>
      <c r="F47" s="248">
        <v>886540</v>
      </c>
      <c r="G47" s="256">
        <v>1300000</v>
      </c>
      <c r="H47" s="256">
        <v>1300000</v>
      </c>
      <c r="I47" s="249"/>
    </row>
    <row r="48" spans="1:9" x14ac:dyDescent="0.2">
      <c r="A48" s="265" t="s">
        <v>410</v>
      </c>
      <c r="B48" s="253"/>
      <c r="C48" s="245"/>
      <c r="D48" s="256">
        <v>217000</v>
      </c>
      <c r="E48" s="248">
        <v>70850</v>
      </c>
      <c r="F48" s="248">
        <v>279150</v>
      </c>
      <c r="G48" s="256">
        <v>350000</v>
      </c>
      <c r="H48" s="256">
        <v>350000</v>
      </c>
      <c r="I48" s="249"/>
    </row>
    <row r="49" spans="1:9" x14ac:dyDescent="0.2">
      <c r="A49" s="265" t="s">
        <v>411</v>
      </c>
      <c r="B49" s="253"/>
      <c r="C49" s="245"/>
      <c r="D49" s="256">
        <v>1552260</v>
      </c>
      <c r="E49" s="248">
        <v>454480</v>
      </c>
      <c r="F49" s="248">
        <v>1045520</v>
      </c>
      <c r="G49" s="256">
        <v>1500000</v>
      </c>
      <c r="H49" s="256">
        <v>1500000</v>
      </c>
      <c r="I49" s="249"/>
    </row>
    <row r="50" spans="1:9" x14ac:dyDescent="0.2">
      <c r="A50" s="255" t="s">
        <v>412</v>
      </c>
      <c r="B50" s="253" t="s">
        <v>413</v>
      </c>
      <c r="C50" s="253" t="s">
        <v>365</v>
      </c>
      <c r="D50" s="256">
        <v>487750</v>
      </c>
      <c r="E50" s="248">
        <v>52400</v>
      </c>
      <c r="F50" s="248">
        <v>47600</v>
      </c>
      <c r="G50" s="256">
        <v>100000</v>
      </c>
      <c r="H50" s="256">
        <v>100000</v>
      </c>
      <c r="I50" s="249"/>
    </row>
    <row r="51" spans="1:9" x14ac:dyDescent="0.2">
      <c r="A51" s="252" t="s">
        <v>414</v>
      </c>
      <c r="B51" s="253"/>
      <c r="C51" s="245"/>
      <c r="D51" s="254">
        <f>D52+D63+D64+D72+D77+D78+D81</f>
        <v>814608336.96999991</v>
      </c>
      <c r="E51" s="254">
        <f t="shared" ref="E51:F51" si="6">E52+E63+E64+E72+E77+E78+E81</f>
        <v>216484367.08000004</v>
      </c>
      <c r="F51" s="254">
        <f t="shared" si="6"/>
        <v>587731233.08000004</v>
      </c>
      <c r="G51" s="254">
        <f>G52+G63+G64+G72+G77+G78+G81</f>
        <v>804215600.16000009</v>
      </c>
      <c r="H51" s="254">
        <f>H52+H63+H64+H72+H77+H78+H81</f>
        <v>804215600.16000009</v>
      </c>
      <c r="I51" s="249"/>
    </row>
    <row r="52" spans="1:9" x14ac:dyDescent="0.2">
      <c r="A52" s="255" t="s">
        <v>415</v>
      </c>
      <c r="B52" s="253" t="s">
        <v>416</v>
      </c>
      <c r="C52" s="253" t="s">
        <v>365</v>
      </c>
      <c r="D52" s="264">
        <f>SUM(D53:D62)</f>
        <v>395155263.83999997</v>
      </c>
      <c r="E52" s="264">
        <f t="shared" ref="E52:F52" si="7">SUM(E53:E62)</f>
        <v>134935362.57000002</v>
      </c>
      <c r="F52" s="264">
        <f t="shared" si="7"/>
        <v>333931594.58999997</v>
      </c>
      <c r="G52" s="264">
        <f>SUM(G53:G62)</f>
        <v>468866957.16000003</v>
      </c>
      <c r="H52" s="264">
        <f>SUM(H53:H62)</f>
        <v>468866957.16000003</v>
      </c>
      <c r="I52" s="249"/>
    </row>
    <row r="53" spans="1:9" x14ac:dyDescent="0.2">
      <c r="A53" s="265" t="s">
        <v>417</v>
      </c>
      <c r="B53" s="253"/>
      <c r="C53" s="253"/>
      <c r="D53" s="256">
        <v>20395</v>
      </c>
      <c r="E53" s="248">
        <v>5775</v>
      </c>
      <c r="F53" s="248">
        <v>19225</v>
      </c>
      <c r="G53" s="256">
        <v>25000</v>
      </c>
      <c r="H53" s="256">
        <v>25000</v>
      </c>
      <c r="I53" s="249"/>
    </row>
    <row r="54" spans="1:9" x14ac:dyDescent="0.2">
      <c r="A54" s="265" t="s">
        <v>418</v>
      </c>
      <c r="B54" s="253"/>
      <c r="C54" s="245"/>
      <c r="D54" s="256"/>
      <c r="E54" s="248"/>
      <c r="F54" s="248"/>
      <c r="G54" s="256"/>
      <c r="H54" s="256"/>
      <c r="I54" s="249"/>
    </row>
    <row r="55" spans="1:9" x14ac:dyDescent="0.2">
      <c r="A55" s="268" t="s">
        <v>419</v>
      </c>
      <c r="B55" s="253"/>
      <c r="C55" s="245"/>
      <c r="D55" s="256">
        <v>13595634</v>
      </c>
      <c r="E55" s="248">
        <v>1027250</v>
      </c>
      <c r="F55" s="248">
        <v>15972750</v>
      </c>
      <c r="G55" s="256">
        <v>17000000</v>
      </c>
      <c r="H55" s="256">
        <v>17000000</v>
      </c>
      <c r="I55" s="249"/>
    </row>
    <row r="56" spans="1:9" x14ac:dyDescent="0.2">
      <c r="A56" s="265" t="s">
        <v>420</v>
      </c>
      <c r="B56" s="253"/>
      <c r="C56" s="245"/>
      <c r="D56" s="256"/>
      <c r="E56" s="248"/>
      <c r="F56" s="248"/>
      <c r="G56" s="256"/>
      <c r="H56" s="256"/>
      <c r="I56" s="249"/>
    </row>
    <row r="57" spans="1:9" x14ac:dyDescent="0.2">
      <c r="A57" s="269" t="s">
        <v>421</v>
      </c>
      <c r="B57" s="260"/>
      <c r="C57" s="270"/>
      <c r="D57" s="261">
        <v>215844766.09999999</v>
      </c>
      <c r="E57" s="254">
        <v>75427361.290000007</v>
      </c>
      <c r="F57" s="254">
        <v>244572638.71000001</v>
      </c>
      <c r="G57" s="261">
        <v>320000000</v>
      </c>
      <c r="H57" s="261">
        <v>320000000</v>
      </c>
      <c r="I57" s="249"/>
    </row>
    <row r="58" spans="1:9" x14ac:dyDescent="0.2">
      <c r="A58" s="271" t="s">
        <v>422</v>
      </c>
      <c r="B58" s="263"/>
      <c r="C58" s="272"/>
      <c r="D58" s="273"/>
      <c r="E58" s="274"/>
      <c r="F58" s="274"/>
      <c r="G58" s="273"/>
      <c r="H58" s="273"/>
      <c r="I58" s="249"/>
    </row>
    <row r="59" spans="1:9" x14ac:dyDescent="0.2">
      <c r="A59" s="268" t="s">
        <v>421</v>
      </c>
      <c r="B59" s="253"/>
      <c r="C59" s="245"/>
      <c r="D59" s="256">
        <v>157810497.30000001</v>
      </c>
      <c r="E59" s="248">
        <v>53566244.130000003</v>
      </c>
      <c r="F59" s="248">
        <v>66433755.869999997</v>
      </c>
      <c r="G59" s="256">
        <v>120000000</v>
      </c>
      <c r="H59" s="256">
        <v>120000000</v>
      </c>
      <c r="I59" s="249"/>
    </row>
    <row r="60" spans="1:9" x14ac:dyDescent="0.2">
      <c r="A60" s="265" t="s">
        <v>423</v>
      </c>
      <c r="B60" s="253"/>
      <c r="C60" s="245"/>
      <c r="D60" s="256"/>
      <c r="E60" s="248"/>
      <c r="F60" s="248"/>
      <c r="G60" s="256"/>
      <c r="H60" s="256"/>
      <c r="I60" s="249"/>
    </row>
    <row r="61" spans="1:9" x14ac:dyDescent="0.2">
      <c r="A61" s="268" t="s">
        <v>424</v>
      </c>
      <c r="B61" s="253"/>
      <c r="C61" s="245"/>
      <c r="D61" s="256">
        <v>7837971.4400000004</v>
      </c>
      <c r="E61" s="248">
        <v>4898732.1500000004</v>
      </c>
      <c r="F61" s="248">
        <v>6858225.0099999998</v>
      </c>
      <c r="G61" s="256">
        <v>11756957.16</v>
      </c>
      <c r="H61" s="256">
        <v>11756957.16</v>
      </c>
      <c r="I61" s="249"/>
    </row>
    <row r="62" spans="1:9" x14ac:dyDescent="0.2">
      <c r="A62" s="265" t="s">
        <v>425</v>
      </c>
      <c r="B62" s="253"/>
      <c r="C62" s="245"/>
      <c r="D62" s="256">
        <v>46000</v>
      </c>
      <c r="E62" s="248">
        <v>10000</v>
      </c>
      <c r="F62" s="248">
        <v>75000</v>
      </c>
      <c r="G62" s="256">
        <v>85000</v>
      </c>
      <c r="H62" s="256">
        <v>85000</v>
      </c>
      <c r="I62" s="249"/>
    </row>
    <row r="63" spans="1:9" x14ac:dyDescent="0.2">
      <c r="A63" s="255" t="s">
        <v>426</v>
      </c>
      <c r="B63" s="253" t="s">
        <v>427</v>
      </c>
      <c r="C63" s="253" t="s">
        <v>365</v>
      </c>
      <c r="D63" s="256">
        <v>26640</v>
      </c>
      <c r="E63" s="248"/>
      <c r="F63" s="248">
        <v>55000</v>
      </c>
      <c r="G63" s="256">
        <v>55000</v>
      </c>
      <c r="H63" s="256">
        <v>55000</v>
      </c>
      <c r="I63" s="249"/>
    </row>
    <row r="64" spans="1:9" x14ac:dyDescent="0.2">
      <c r="A64" s="255" t="s">
        <v>428</v>
      </c>
      <c r="B64" s="253" t="s">
        <v>429</v>
      </c>
      <c r="C64" s="253" t="s">
        <v>365</v>
      </c>
      <c r="D64" s="261">
        <f>SUM(D65:D71)</f>
        <v>30471744.259999998</v>
      </c>
      <c r="E64" s="261">
        <f t="shared" ref="E64:F64" si="8">SUM(E65:E71)</f>
        <v>3768621</v>
      </c>
      <c r="F64" s="261">
        <f t="shared" si="8"/>
        <v>24471379</v>
      </c>
      <c r="G64" s="261">
        <f>SUM(G65:G71)</f>
        <v>28240000</v>
      </c>
      <c r="H64" s="261">
        <f>SUM(H65:H71)</f>
        <v>28240000</v>
      </c>
      <c r="I64" s="249"/>
    </row>
    <row r="65" spans="1:9" x14ac:dyDescent="0.2">
      <c r="A65" s="265" t="s">
        <v>430</v>
      </c>
      <c r="B65" s="253"/>
      <c r="C65" s="245"/>
      <c r="D65" s="256">
        <v>64750</v>
      </c>
      <c r="E65" s="248"/>
      <c r="F65" s="248">
        <v>40000</v>
      </c>
      <c r="G65" s="256">
        <v>40000</v>
      </c>
      <c r="H65" s="256">
        <v>40000</v>
      </c>
      <c r="I65" s="249"/>
    </row>
    <row r="66" spans="1:9" x14ac:dyDescent="0.2">
      <c r="A66" s="265" t="s">
        <v>431</v>
      </c>
      <c r="B66" s="253"/>
      <c r="C66" s="245"/>
      <c r="D66" s="256"/>
      <c r="E66" s="248"/>
      <c r="F66" s="248"/>
      <c r="G66" s="256"/>
      <c r="H66" s="256"/>
      <c r="I66" s="249"/>
    </row>
    <row r="67" spans="1:9" x14ac:dyDescent="0.2">
      <c r="A67" s="275" t="s">
        <v>432</v>
      </c>
      <c r="B67" s="253"/>
      <c r="C67" s="245"/>
      <c r="D67" s="256">
        <v>1333400</v>
      </c>
      <c r="E67" s="248"/>
      <c r="F67" s="248"/>
      <c r="G67" s="256">
        <v>0</v>
      </c>
      <c r="H67" s="256">
        <v>0</v>
      </c>
      <c r="I67" s="249"/>
    </row>
    <row r="68" spans="1:9" x14ac:dyDescent="0.2">
      <c r="A68" s="275" t="s">
        <v>433</v>
      </c>
      <c r="B68" s="253"/>
      <c r="C68" s="245"/>
      <c r="D68" s="256">
        <v>11888726.26</v>
      </c>
      <c r="E68" s="248">
        <v>411700</v>
      </c>
      <c r="F68" s="248">
        <v>9588300</v>
      </c>
      <c r="G68" s="256">
        <v>10000000</v>
      </c>
      <c r="H68" s="256">
        <v>10000000</v>
      </c>
      <c r="I68" s="249"/>
    </row>
    <row r="69" spans="1:9" x14ac:dyDescent="0.2">
      <c r="A69" s="265" t="s">
        <v>434</v>
      </c>
      <c r="B69" s="253"/>
      <c r="C69" s="245"/>
      <c r="D69" s="256">
        <v>1208390</v>
      </c>
      <c r="E69" s="248">
        <v>261200</v>
      </c>
      <c r="F69" s="248">
        <v>938800</v>
      </c>
      <c r="G69" s="256">
        <v>1200000</v>
      </c>
      <c r="H69" s="256">
        <v>1200000</v>
      </c>
      <c r="I69" s="249"/>
    </row>
    <row r="70" spans="1:9" x14ac:dyDescent="0.2">
      <c r="A70" s="265" t="s">
        <v>435</v>
      </c>
      <c r="B70" s="253"/>
      <c r="C70" s="245"/>
      <c r="D70" s="256">
        <v>15870878</v>
      </c>
      <c r="E70" s="248">
        <v>3025321</v>
      </c>
      <c r="F70" s="248">
        <v>13974679</v>
      </c>
      <c r="G70" s="256">
        <v>17000000</v>
      </c>
      <c r="H70" s="256">
        <v>17000000</v>
      </c>
      <c r="I70" s="249"/>
    </row>
    <row r="71" spans="1:9" x14ac:dyDescent="0.2">
      <c r="A71" s="265" t="s">
        <v>436</v>
      </c>
      <c r="B71" s="253"/>
      <c r="C71" s="245"/>
      <c r="D71" s="256">
        <v>105600</v>
      </c>
      <c r="E71" s="248">
        <v>70400</v>
      </c>
      <c r="F71" s="276">
        <v>-70400</v>
      </c>
      <c r="G71" s="256">
        <v>0</v>
      </c>
      <c r="H71" s="256">
        <v>0</v>
      </c>
      <c r="I71" s="249"/>
    </row>
    <row r="72" spans="1:9" x14ac:dyDescent="0.2">
      <c r="A72" s="255" t="s">
        <v>437</v>
      </c>
      <c r="B72" s="253" t="s">
        <v>438</v>
      </c>
      <c r="C72" s="253" t="s">
        <v>365</v>
      </c>
      <c r="D72" s="261">
        <f>SUM(D73:D74)</f>
        <v>1929600</v>
      </c>
      <c r="E72" s="261">
        <f t="shared" ref="E72:F72" si="9">SUM(E73:E74)</f>
        <v>573000</v>
      </c>
      <c r="F72" s="261">
        <f t="shared" si="9"/>
        <v>2927000</v>
      </c>
      <c r="G72" s="261">
        <f>SUM(G73:G74)</f>
        <v>3500000</v>
      </c>
      <c r="H72" s="261">
        <f>SUM(H73:H74)</f>
        <v>3500000</v>
      </c>
      <c r="I72" s="249"/>
    </row>
    <row r="73" spans="1:9" x14ac:dyDescent="0.2">
      <c r="A73" s="265" t="s">
        <v>431</v>
      </c>
      <c r="B73" s="253"/>
      <c r="C73" s="245"/>
      <c r="D73" s="248">
        <v>0</v>
      </c>
      <c r="E73" s="248"/>
      <c r="F73" s="248"/>
      <c r="G73" s="248">
        <v>0</v>
      </c>
      <c r="H73" s="248">
        <v>0</v>
      </c>
      <c r="I73" s="249"/>
    </row>
    <row r="74" spans="1:9" x14ac:dyDescent="0.2">
      <c r="A74" s="265" t="s">
        <v>435</v>
      </c>
      <c r="B74" s="253"/>
      <c r="C74" s="245"/>
      <c r="D74" s="256">
        <v>1929600</v>
      </c>
      <c r="E74" s="248">
        <v>573000</v>
      </c>
      <c r="F74" s="248">
        <v>2927000</v>
      </c>
      <c r="G74" s="256">
        <v>3500000</v>
      </c>
      <c r="H74" s="256">
        <v>3500000</v>
      </c>
      <c r="I74" s="249"/>
    </row>
    <row r="75" spans="1:9" x14ac:dyDescent="0.2">
      <c r="A75" s="255" t="s">
        <v>439</v>
      </c>
      <c r="B75" s="253"/>
      <c r="C75" s="245"/>
      <c r="D75" s="248"/>
      <c r="E75" s="248"/>
      <c r="F75" s="248"/>
      <c r="G75" s="248"/>
      <c r="H75" s="248"/>
      <c r="I75" s="249"/>
    </row>
    <row r="76" spans="1:9" x14ac:dyDescent="0.2">
      <c r="A76" s="258" t="s">
        <v>440</v>
      </c>
      <c r="B76" s="253"/>
      <c r="C76" s="245"/>
      <c r="D76" s="248"/>
      <c r="E76" s="248"/>
      <c r="F76" s="248"/>
      <c r="G76" s="248"/>
      <c r="H76" s="248"/>
      <c r="I76" s="249"/>
    </row>
    <row r="77" spans="1:9" x14ac:dyDescent="0.2">
      <c r="A77" s="258" t="s">
        <v>441</v>
      </c>
      <c r="B77" s="253" t="s">
        <v>442</v>
      </c>
      <c r="C77" s="253" t="s">
        <v>365</v>
      </c>
      <c r="D77" s="256">
        <v>1574800</v>
      </c>
      <c r="E77" s="248">
        <v>402200</v>
      </c>
      <c r="F77" s="248">
        <v>1397800</v>
      </c>
      <c r="G77" s="256">
        <v>1800000</v>
      </c>
      <c r="H77" s="256">
        <v>1800000</v>
      </c>
      <c r="I77" s="249"/>
    </row>
    <row r="78" spans="1:9" x14ac:dyDescent="0.2">
      <c r="A78" s="255" t="s">
        <v>443</v>
      </c>
      <c r="B78" s="253" t="s">
        <v>444</v>
      </c>
      <c r="C78" s="253" t="s">
        <v>365</v>
      </c>
      <c r="D78" s="261">
        <f>SUM(D79:D80)</f>
        <v>314007662.01999998</v>
      </c>
      <c r="E78" s="261">
        <f t="shared" ref="E78:F78" si="10">SUM(E79:E80)</f>
        <v>32255764.390000001</v>
      </c>
      <c r="F78" s="261">
        <f t="shared" si="10"/>
        <v>217744235.61000001</v>
      </c>
      <c r="G78" s="261">
        <f>SUM(G79:G80)</f>
        <v>250000000</v>
      </c>
      <c r="H78" s="261">
        <f>SUM(H79:H80)</f>
        <v>250000000</v>
      </c>
      <c r="I78" s="249"/>
    </row>
    <row r="79" spans="1:9" x14ac:dyDescent="0.2">
      <c r="A79" s="265" t="s">
        <v>445</v>
      </c>
      <c r="B79" s="253"/>
      <c r="C79" s="245"/>
      <c r="D79" s="256">
        <v>199969843.46000001</v>
      </c>
      <c r="E79" s="248">
        <v>26997873.18</v>
      </c>
      <c r="F79" s="248">
        <v>123002126.81999999</v>
      </c>
      <c r="G79" s="256">
        <v>150000000</v>
      </c>
      <c r="H79" s="256">
        <v>150000000</v>
      </c>
      <c r="I79" s="249"/>
    </row>
    <row r="80" spans="1:9" x14ac:dyDescent="0.2">
      <c r="A80" s="265" t="s">
        <v>446</v>
      </c>
      <c r="B80" s="253"/>
      <c r="C80" s="245"/>
      <c r="D80" s="256">
        <v>114037818.56</v>
      </c>
      <c r="E80" s="248">
        <v>5257891.21</v>
      </c>
      <c r="F80" s="248">
        <v>94742108.790000007</v>
      </c>
      <c r="G80" s="256">
        <v>100000000</v>
      </c>
      <c r="H80" s="256">
        <v>100000000</v>
      </c>
      <c r="I80" s="249"/>
    </row>
    <row r="81" spans="1:9" x14ac:dyDescent="0.2">
      <c r="A81" s="255" t="s">
        <v>447</v>
      </c>
      <c r="B81" s="253"/>
      <c r="C81" s="245"/>
      <c r="D81" s="261">
        <f>D82+D84+D86</f>
        <v>71442626.849999994</v>
      </c>
      <c r="E81" s="261">
        <f t="shared" ref="E81:F81" si="11">E82+E84+E86</f>
        <v>44549419.120000005</v>
      </c>
      <c r="F81" s="261">
        <f t="shared" si="11"/>
        <v>7204223.8800000008</v>
      </c>
      <c r="G81" s="261">
        <f>G82+G84+G86</f>
        <v>51753643</v>
      </c>
      <c r="H81" s="261">
        <f>H82+H84+H86</f>
        <v>51753643</v>
      </c>
      <c r="I81" s="249"/>
    </row>
    <row r="82" spans="1:9" x14ac:dyDescent="0.2">
      <c r="A82" s="265" t="s">
        <v>448</v>
      </c>
      <c r="B82" s="253" t="s">
        <v>449</v>
      </c>
      <c r="C82" s="253" t="s">
        <v>365</v>
      </c>
      <c r="D82" s="248">
        <f>SUM(D83)</f>
        <v>0</v>
      </c>
      <c r="E82" s="248"/>
      <c r="F82" s="248">
        <v>1700000</v>
      </c>
      <c r="G82" s="256">
        <f>SUM(G83)</f>
        <v>1700000</v>
      </c>
      <c r="H82" s="256">
        <f>SUM(H83)</f>
        <v>1700000</v>
      </c>
      <c r="I82" s="249"/>
    </row>
    <row r="83" spans="1:9" x14ac:dyDescent="0.2">
      <c r="A83" s="277" t="s">
        <v>450</v>
      </c>
      <c r="B83" s="253"/>
      <c r="C83" s="245"/>
      <c r="D83" s="248">
        <v>0</v>
      </c>
      <c r="E83" s="248"/>
      <c r="F83" s="248">
        <v>1700000</v>
      </c>
      <c r="G83" s="248">
        <v>1700000</v>
      </c>
      <c r="H83" s="248">
        <v>1700000</v>
      </c>
      <c r="I83" s="249"/>
    </row>
    <row r="84" spans="1:9" x14ac:dyDescent="0.2">
      <c r="A84" s="265" t="s">
        <v>451</v>
      </c>
      <c r="B84" s="253" t="s">
        <v>452</v>
      </c>
      <c r="C84" s="253" t="s">
        <v>365</v>
      </c>
      <c r="D84" s="256">
        <f>SUM(D85)</f>
        <v>70279812.209999993</v>
      </c>
      <c r="E84" s="256">
        <v>44453289.060000002</v>
      </c>
      <c r="F84" s="278">
        <v>5546710.9400000004</v>
      </c>
      <c r="G84" s="256">
        <f>SUM(G85)</f>
        <v>50000000</v>
      </c>
      <c r="H84" s="256">
        <f>SUM(H85)</f>
        <v>50000000</v>
      </c>
      <c r="I84" s="249"/>
    </row>
    <row r="85" spans="1:9" x14ac:dyDescent="0.2">
      <c r="A85" s="277" t="s">
        <v>453</v>
      </c>
      <c r="B85" s="253"/>
      <c r="C85" s="245"/>
      <c r="D85" s="256">
        <v>70279812.209999993</v>
      </c>
      <c r="E85" s="256">
        <v>44453289.060000002</v>
      </c>
      <c r="F85" s="278">
        <v>5546710.9400000004</v>
      </c>
      <c r="G85" s="256">
        <v>50000000</v>
      </c>
      <c r="H85" s="256">
        <v>50000000</v>
      </c>
      <c r="I85" s="249"/>
    </row>
    <row r="86" spans="1:9" x14ac:dyDescent="0.2">
      <c r="A86" s="265" t="s">
        <v>454</v>
      </c>
      <c r="B86" s="253" t="s">
        <v>455</v>
      </c>
      <c r="C86" s="253" t="s">
        <v>365</v>
      </c>
      <c r="D86" s="256">
        <f>SUM(D87)</f>
        <v>1162814.6399999999</v>
      </c>
      <c r="E86" s="256">
        <f t="shared" ref="E86:F86" si="12">SUM(E87)</f>
        <v>96130.06</v>
      </c>
      <c r="F86" s="279">
        <f t="shared" si="12"/>
        <v>-42487.06</v>
      </c>
      <c r="G86" s="256">
        <f>SUM(G87)</f>
        <v>53643</v>
      </c>
      <c r="H86" s="256">
        <f>SUM(H87)</f>
        <v>53643</v>
      </c>
      <c r="I86" s="249"/>
    </row>
    <row r="87" spans="1:9" x14ac:dyDescent="0.2">
      <c r="A87" s="277" t="s">
        <v>456</v>
      </c>
      <c r="B87" s="253"/>
      <c r="C87" s="245"/>
      <c r="D87" s="256">
        <v>1162814.6399999999</v>
      </c>
      <c r="E87" s="256">
        <v>96130.06</v>
      </c>
      <c r="F87" s="280">
        <v>-42487.06</v>
      </c>
      <c r="G87" s="256">
        <v>53643</v>
      </c>
      <c r="H87" s="256">
        <v>53643</v>
      </c>
      <c r="I87" s="249"/>
    </row>
    <row r="88" spans="1:9" x14ac:dyDescent="0.2">
      <c r="A88" s="281" t="s">
        <v>457</v>
      </c>
      <c r="B88" s="260"/>
      <c r="C88" s="270"/>
      <c r="D88" s="267">
        <f>D43+D51</f>
        <v>818295377.96999991</v>
      </c>
      <c r="E88" s="267">
        <v>217514757.08000001</v>
      </c>
      <c r="F88" s="267">
        <v>590210843.08000004</v>
      </c>
      <c r="G88" s="267">
        <f>G43+G51</f>
        <v>807725600.16000009</v>
      </c>
      <c r="H88" s="267">
        <f>H43+H51</f>
        <v>807725600.16000009</v>
      </c>
      <c r="I88" s="249"/>
    </row>
    <row r="89" spans="1:9" x14ac:dyDescent="0.2">
      <c r="A89" s="282" t="s">
        <v>458</v>
      </c>
      <c r="B89" s="263"/>
      <c r="C89" s="272"/>
      <c r="D89" s="267">
        <f>D41+D88</f>
        <v>1350008178.9899998</v>
      </c>
      <c r="E89" s="267">
        <f>E12+E41+E88</f>
        <v>563641584.99000001</v>
      </c>
      <c r="F89" s="267">
        <f t="shared" ref="F89" si="13">F41+F88</f>
        <v>997655846.72000003</v>
      </c>
      <c r="G89" s="267">
        <f>G41+G88</f>
        <v>1473494100.1600001</v>
      </c>
      <c r="H89" s="267">
        <f>H41+H88</f>
        <v>1473494100.1600001</v>
      </c>
      <c r="I89" s="249"/>
    </row>
    <row r="90" spans="1:9" x14ac:dyDescent="0.2">
      <c r="A90" s="250" t="s">
        <v>459</v>
      </c>
      <c r="B90" s="253"/>
      <c r="C90" s="245"/>
      <c r="D90" s="248"/>
      <c r="E90" s="248"/>
      <c r="F90" s="248"/>
      <c r="G90" s="248"/>
      <c r="H90" s="248"/>
      <c r="I90" s="249"/>
    </row>
    <row r="91" spans="1:9" x14ac:dyDescent="0.2">
      <c r="A91" s="251" t="s">
        <v>460</v>
      </c>
      <c r="B91" s="253"/>
      <c r="C91" s="245"/>
      <c r="D91" s="248"/>
      <c r="E91" s="248"/>
      <c r="F91" s="248"/>
      <c r="G91" s="248"/>
      <c r="H91" s="248"/>
      <c r="I91" s="249"/>
    </row>
    <row r="92" spans="1:9" x14ac:dyDescent="0.2">
      <c r="A92" s="283" t="s">
        <v>461</v>
      </c>
      <c r="B92" s="253" t="s">
        <v>462</v>
      </c>
      <c r="C92" s="253" t="s">
        <v>365</v>
      </c>
      <c r="D92" s="248">
        <v>2957361626</v>
      </c>
      <c r="E92" s="248">
        <v>1667268606</v>
      </c>
      <c r="F92" s="248">
        <v>1667268608</v>
      </c>
      <c r="G92" s="248">
        <v>3334537214</v>
      </c>
      <c r="H92" s="248">
        <v>3573848856</v>
      </c>
      <c r="I92" s="249"/>
    </row>
    <row r="93" spans="1:9" x14ac:dyDescent="0.2">
      <c r="A93" s="251" t="s">
        <v>463</v>
      </c>
      <c r="B93" s="253" t="s">
        <v>464</v>
      </c>
      <c r="C93" s="253" t="s">
        <v>365</v>
      </c>
      <c r="D93" s="248">
        <v>4113404.57</v>
      </c>
      <c r="E93" s="248"/>
      <c r="F93" s="248">
        <v>2000000</v>
      </c>
      <c r="G93" s="248">
        <v>2000000</v>
      </c>
      <c r="H93" s="248">
        <v>2000000</v>
      </c>
      <c r="I93" s="249"/>
    </row>
    <row r="94" spans="1:9" x14ac:dyDescent="0.2">
      <c r="A94" s="251" t="s">
        <v>465</v>
      </c>
      <c r="B94" s="253" t="s">
        <v>466</v>
      </c>
      <c r="C94" s="253" t="s">
        <v>365</v>
      </c>
      <c r="D94" s="254">
        <f>SUM(D95:D97)</f>
        <v>2161782.87</v>
      </c>
      <c r="E94" s="254">
        <f>SUM(E95:E97)</f>
        <v>950625.10999999987</v>
      </c>
      <c r="F94" s="254">
        <f t="shared" ref="F94" si="14">SUM(F95:F97)</f>
        <v>2749374.89</v>
      </c>
      <c r="G94" s="254">
        <f>SUM(G95:G97)</f>
        <v>3700000</v>
      </c>
      <c r="H94" s="254">
        <f>SUM(H95:H97)</f>
        <v>3700000</v>
      </c>
      <c r="I94" s="249"/>
    </row>
    <row r="95" spans="1:9" x14ac:dyDescent="0.2">
      <c r="A95" s="284" t="s">
        <v>467</v>
      </c>
      <c r="B95" s="253"/>
      <c r="C95" s="245"/>
      <c r="D95" s="256">
        <v>899740.93</v>
      </c>
      <c r="E95" s="248">
        <v>580742.94999999995</v>
      </c>
      <c r="F95" s="248">
        <v>1419257.05</v>
      </c>
      <c r="G95" s="256">
        <v>2000000</v>
      </c>
      <c r="H95" s="256">
        <v>2000000</v>
      </c>
      <c r="I95" s="249"/>
    </row>
    <row r="96" spans="1:9" x14ac:dyDescent="0.2">
      <c r="A96" s="284" t="s">
        <v>468</v>
      </c>
      <c r="B96" s="253"/>
      <c r="C96" s="245"/>
      <c r="D96" s="256">
        <v>365050.83</v>
      </c>
      <c r="E96" s="248"/>
      <c r="F96" s="248">
        <v>500000</v>
      </c>
      <c r="G96" s="256">
        <v>500000</v>
      </c>
      <c r="H96" s="256">
        <v>500000</v>
      </c>
      <c r="I96" s="249"/>
    </row>
    <row r="97" spans="1:9" x14ac:dyDescent="0.2">
      <c r="A97" s="284" t="s">
        <v>469</v>
      </c>
      <c r="B97" s="253"/>
      <c r="C97" s="245"/>
      <c r="D97" s="256">
        <v>896991.11</v>
      </c>
      <c r="E97" s="248">
        <v>369882.16</v>
      </c>
      <c r="F97" s="248">
        <v>830117.84</v>
      </c>
      <c r="G97" s="256">
        <v>1200000</v>
      </c>
      <c r="H97" s="256">
        <v>1200000</v>
      </c>
      <c r="I97" s="249"/>
    </row>
    <row r="98" spans="1:9" x14ac:dyDescent="0.2">
      <c r="A98" s="251" t="s">
        <v>470</v>
      </c>
      <c r="B98" s="253" t="s">
        <v>471</v>
      </c>
      <c r="C98" s="253" t="s">
        <v>472</v>
      </c>
      <c r="D98" s="248">
        <f>SUM(D99)</f>
        <v>0</v>
      </c>
      <c r="E98" s="248">
        <v>138939051</v>
      </c>
      <c r="F98" s="248"/>
      <c r="G98" s="248">
        <f>SUM(G99)</f>
        <v>138939051</v>
      </c>
      <c r="H98" s="248">
        <f>SUM(H99)</f>
        <v>0</v>
      </c>
      <c r="I98" s="249"/>
    </row>
    <row r="99" spans="1:9" x14ac:dyDescent="0.2">
      <c r="A99" s="284" t="s">
        <v>473</v>
      </c>
      <c r="B99" s="253"/>
      <c r="C99" s="245"/>
      <c r="D99" s="248">
        <v>0</v>
      </c>
      <c r="E99" s="248">
        <v>138939051</v>
      </c>
      <c r="F99" s="248"/>
      <c r="G99" s="256">
        <v>138939051</v>
      </c>
      <c r="H99" s="256">
        <v>0</v>
      </c>
      <c r="I99" s="249"/>
    </row>
    <row r="100" spans="1:9" x14ac:dyDescent="0.2">
      <c r="A100" s="250" t="s">
        <v>474</v>
      </c>
      <c r="B100" s="253"/>
      <c r="C100" s="245"/>
      <c r="D100" s="267">
        <f>+D92+D93+D94+D98</f>
        <v>2963636813.4400001</v>
      </c>
      <c r="E100" s="267">
        <f t="shared" ref="E100:F100" si="15">+E92+E93+E94+E98</f>
        <v>1807158282.1099999</v>
      </c>
      <c r="F100" s="267">
        <f t="shared" si="15"/>
        <v>1672017982.8900001</v>
      </c>
      <c r="G100" s="267">
        <f>G92+G93+G94+G98</f>
        <v>3479176265</v>
      </c>
      <c r="H100" s="267">
        <f>H92+H93+H94+H98</f>
        <v>3579548856</v>
      </c>
      <c r="I100" s="249"/>
    </row>
    <row r="101" spans="1:9" x14ac:dyDescent="0.2">
      <c r="A101" s="250" t="s">
        <v>475</v>
      </c>
      <c r="B101" s="253"/>
      <c r="C101" s="245"/>
      <c r="D101" s="248"/>
      <c r="E101" s="248"/>
      <c r="F101" s="248"/>
      <c r="G101" s="248"/>
      <c r="H101" s="248"/>
      <c r="I101" s="249"/>
    </row>
    <row r="102" spans="1:9" x14ac:dyDescent="0.2">
      <c r="A102" s="251" t="s">
        <v>476</v>
      </c>
      <c r="B102" s="253"/>
      <c r="C102" s="253" t="s">
        <v>472</v>
      </c>
      <c r="D102" s="248">
        <v>0</v>
      </c>
      <c r="E102" s="248"/>
      <c r="F102" s="248"/>
      <c r="G102" s="248">
        <v>0</v>
      </c>
      <c r="H102" s="248">
        <v>0</v>
      </c>
      <c r="I102" s="249"/>
    </row>
    <row r="103" spans="1:9" x14ac:dyDescent="0.2">
      <c r="A103" s="250" t="s">
        <v>477</v>
      </c>
      <c r="B103" s="253"/>
      <c r="C103" s="245"/>
      <c r="D103" s="267">
        <f>SUM(D102)</f>
        <v>0</v>
      </c>
      <c r="E103" s="285"/>
      <c r="F103" s="285"/>
      <c r="G103" s="267">
        <f>SUM(G102)</f>
        <v>0</v>
      </c>
      <c r="H103" s="267">
        <f>SUM(H102)</f>
        <v>0</v>
      </c>
      <c r="I103" s="249"/>
    </row>
    <row r="104" spans="1:9" ht="15" thickBot="1" x14ac:dyDescent="0.25">
      <c r="A104" s="244" t="s">
        <v>478</v>
      </c>
      <c r="B104" s="253"/>
      <c r="C104" s="245"/>
      <c r="D104" s="286">
        <f>D89+D100+D103</f>
        <v>4313644992.4300003</v>
      </c>
      <c r="E104" s="286">
        <f t="shared" ref="E104:F104" si="16">E89+E100+E103</f>
        <v>2370799867.0999999</v>
      </c>
      <c r="F104" s="286">
        <f t="shared" si="16"/>
        <v>2669673829.6100001</v>
      </c>
      <c r="G104" s="286">
        <f>G12+G89+G100+G103</f>
        <v>5040473696.71</v>
      </c>
      <c r="H104" s="286">
        <f>H12+H89+H100+H103</f>
        <v>5053042956.1599998</v>
      </c>
      <c r="I104" s="249"/>
    </row>
    <row r="105" spans="1:9" x14ac:dyDescent="0.2">
      <c r="A105" s="244" t="s">
        <v>479</v>
      </c>
      <c r="B105" s="253"/>
      <c r="C105" s="245"/>
      <c r="D105" s="248"/>
      <c r="E105" s="248"/>
      <c r="F105" s="248"/>
      <c r="G105" s="248"/>
      <c r="H105" s="248"/>
      <c r="I105" s="249"/>
    </row>
    <row r="106" spans="1:9" x14ac:dyDescent="0.2">
      <c r="A106" s="250" t="s">
        <v>480</v>
      </c>
      <c r="B106" s="253"/>
      <c r="C106" s="245"/>
      <c r="D106" s="248"/>
      <c r="E106" s="248"/>
      <c r="F106" s="248"/>
      <c r="G106" s="248"/>
      <c r="H106" s="248"/>
      <c r="I106" s="249"/>
    </row>
    <row r="107" spans="1:9" x14ac:dyDescent="0.2">
      <c r="A107" s="251" t="s">
        <v>6</v>
      </c>
      <c r="B107" s="253" t="s">
        <v>481</v>
      </c>
      <c r="C107" s="245"/>
      <c r="D107" s="248">
        <v>311587071.88</v>
      </c>
      <c r="E107" s="248">
        <v>149453833.36000001</v>
      </c>
      <c r="F107" s="248">
        <f>G107-E107</f>
        <v>269251895.28999996</v>
      </c>
      <c r="G107" s="248">
        <v>418705728.64999998</v>
      </c>
      <c r="H107" s="248">
        <v>447472774.20999998</v>
      </c>
      <c r="I107" s="249"/>
    </row>
    <row r="108" spans="1:9" x14ac:dyDescent="0.2">
      <c r="A108" s="251" t="s">
        <v>9</v>
      </c>
      <c r="B108" s="253" t="s">
        <v>482</v>
      </c>
      <c r="C108" s="245"/>
      <c r="D108" s="248">
        <v>175864802.96000001</v>
      </c>
      <c r="E108" s="248">
        <v>78762262.349999994</v>
      </c>
      <c r="F108" s="248">
        <f t="shared" ref="F108:F127" si="17">G108-E108</f>
        <v>234777178.91</v>
      </c>
      <c r="G108" s="248">
        <v>313539441.25999999</v>
      </c>
      <c r="H108" s="248">
        <v>267264660</v>
      </c>
      <c r="I108" s="249"/>
    </row>
    <row r="109" spans="1:9" x14ac:dyDescent="0.2">
      <c r="A109" s="251" t="s">
        <v>483</v>
      </c>
      <c r="B109" s="253" t="s">
        <v>484</v>
      </c>
      <c r="C109" s="245"/>
      <c r="D109" s="248">
        <v>42263031.759999998</v>
      </c>
      <c r="E109" s="248">
        <v>19754687.780000001</v>
      </c>
      <c r="F109" s="248">
        <f t="shared" si="17"/>
        <v>43921312.219999999</v>
      </c>
      <c r="G109" s="248">
        <v>63676000</v>
      </c>
      <c r="H109" s="248">
        <v>56736000</v>
      </c>
      <c r="I109" s="249"/>
    </row>
    <row r="110" spans="1:9" x14ac:dyDescent="0.2">
      <c r="A110" s="251" t="s">
        <v>485</v>
      </c>
      <c r="B110" s="253" t="s">
        <v>486</v>
      </c>
      <c r="C110" s="245"/>
      <c r="D110" s="248">
        <v>3339000</v>
      </c>
      <c r="E110" s="248">
        <v>1693000</v>
      </c>
      <c r="F110" s="248">
        <f t="shared" si="17"/>
        <v>2711000</v>
      </c>
      <c r="G110" s="248">
        <v>4404000</v>
      </c>
      <c r="H110" s="248">
        <v>4404000</v>
      </c>
      <c r="I110" s="249"/>
    </row>
    <row r="111" spans="1:9" x14ac:dyDescent="0.2">
      <c r="A111" s="251" t="s">
        <v>487</v>
      </c>
      <c r="B111" s="253" t="s">
        <v>488</v>
      </c>
      <c r="C111" s="245"/>
      <c r="D111" s="248">
        <v>1328250</v>
      </c>
      <c r="E111" s="248">
        <v>651500</v>
      </c>
      <c r="F111" s="248">
        <f t="shared" si="17"/>
        <v>2021000</v>
      </c>
      <c r="G111" s="248">
        <v>2672500</v>
      </c>
      <c r="H111" s="248">
        <v>2779500</v>
      </c>
      <c r="I111" s="249"/>
    </row>
    <row r="112" spans="1:9" x14ac:dyDescent="0.2">
      <c r="A112" s="251" t="s">
        <v>16</v>
      </c>
      <c r="B112" s="253" t="s">
        <v>489</v>
      </c>
      <c r="C112" s="245"/>
      <c r="D112" s="248">
        <v>5964000</v>
      </c>
      <c r="E112" s="248">
        <v>5256000</v>
      </c>
      <c r="F112" s="248">
        <f t="shared" si="17"/>
        <v>2538000</v>
      </c>
      <c r="G112" s="248">
        <v>7794000</v>
      </c>
      <c r="H112" s="248">
        <v>7794000</v>
      </c>
      <c r="I112" s="249"/>
    </row>
    <row r="113" spans="1:9" x14ac:dyDescent="0.2">
      <c r="A113" s="251" t="s">
        <v>141</v>
      </c>
      <c r="B113" s="253" t="s">
        <v>490</v>
      </c>
      <c r="C113" s="245"/>
      <c r="D113" s="248">
        <f>3013700+14400</f>
        <v>3028100</v>
      </c>
      <c r="E113" s="248">
        <v>597050</v>
      </c>
      <c r="F113" s="248">
        <f t="shared" si="17"/>
        <v>11924338.289999999</v>
      </c>
      <c r="G113" s="248">
        <v>12521388.289999999</v>
      </c>
      <c r="H113" s="248">
        <v>6786000</v>
      </c>
      <c r="I113" s="249"/>
    </row>
    <row r="114" spans="1:9" x14ac:dyDescent="0.2">
      <c r="A114" s="251" t="s">
        <v>491</v>
      </c>
      <c r="B114" s="253" t="s">
        <v>492</v>
      </c>
      <c r="C114" s="245"/>
      <c r="D114" s="248">
        <f>453117.94+2577.24</f>
        <v>455695.18</v>
      </c>
      <c r="E114" s="248">
        <v>87448.87</v>
      </c>
      <c r="F114" s="248">
        <f t="shared" si="17"/>
        <v>1194151.1299999999</v>
      </c>
      <c r="G114" s="248">
        <v>1281600</v>
      </c>
      <c r="H114" s="248">
        <v>678600</v>
      </c>
      <c r="I114" s="249"/>
    </row>
    <row r="115" spans="1:9" x14ac:dyDescent="0.2">
      <c r="A115" s="251" t="s">
        <v>493</v>
      </c>
      <c r="B115" s="253" t="s">
        <v>494</v>
      </c>
      <c r="C115" s="245"/>
      <c r="D115" s="248"/>
      <c r="E115" s="248"/>
      <c r="F115" s="248">
        <f t="shared" si="17"/>
        <v>86625</v>
      </c>
      <c r="G115" s="248">
        <v>86625</v>
      </c>
      <c r="H115" s="248">
        <v>86625</v>
      </c>
      <c r="I115" s="249"/>
    </row>
    <row r="116" spans="1:9" x14ac:dyDescent="0.2">
      <c r="A116" s="251" t="s">
        <v>22</v>
      </c>
      <c r="B116" s="253" t="s">
        <v>495</v>
      </c>
      <c r="C116" s="245"/>
      <c r="D116" s="248">
        <v>4962751.75</v>
      </c>
      <c r="E116" s="248">
        <v>20808397.5</v>
      </c>
      <c r="F116" s="248">
        <f t="shared" si="17"/>
        <v>47732855.579999998</v>
      </c>
      <c r="G116" s="248">
        <f>68537253.08+4000</f>
        <v>68541253.079999998</v>
      </c>
      <c r="H116" s="248">
        <v>12263324.68</v>
      </c>
      <c r="I116" s="249"/>
    </row>
    <row r="117" spans="1:9" x14ac:dyDescent="0.2">
      <c r="A117" s="251" t="s">
        <v>23</v>
      </c>
      <c r="B117" s="253" t="s">
        <v>496</v>
      </c>
      <c r="C117" s="245"/>
      <c r="D117" s="248">
        <f>1407053.08+10000</f>
        <v>1417053.08</v>
      </c>
      <c r="E117" s="248">
        <v>300472.28999999998</v>
      </c>
      <c r="F117" s="248">
        <f t="shared" si="17"/>
        <v>2603693.09</v>
      </c>
      <c r="G117" s="248">
        <v>2904165.38</v>
      </c>
      <c r="H117" s="248">
        <v>5250000</v>
      </c>
      <c r="I117" s="249"/>
    </row>
    <row r="118" spans="1:9" x14ac:dyDescent="0.2">
      <c r="A118" s="251" t="s">
        <v>27</v>
      </c>
      <c r="B118" s="253" t="s">
        <v>497</v>
      </c>
      <c r="C118" s="245"/>
      <c r="D118" s="248">
        <v>40873118.799999997</v>
      </c>
      <c r="E118" s="248"/>
      <c r="F118" s="248">
        <f t="shared" si="17"/>
        <v>61955587</v>
      </c>
      <c r="G118" s="248">
        <v>61955587</v>
      </c>
      <c r="H118" s="248">
        <v>59611891</v>
      </c>
      <c r="I118" s="249"/>
    </row>
    <row r="119" spans="1:9" x14ac:dyDescent="0.2">
      <c r="A119" s="287" t="s">
        <v>25</v>
      </c>
      <c r="B119" s="260" t="s">
        <v>498</v>
      </c>
      <c r="C119" s="270"/>
      <c r="D119" s="254">
        <v>8844250</v>
      </c>
      <c r="E119" s="254"/>
      <c r="F119" s="254">
        <f t="shared" si="17"/>
        <v>13270000</v>
      </c>
      <c r="G119" s="254">
        <v>13270000</v>
      </c>
      <c r="H119" s="254">
        <v>11820000</v>
      </c>
      <c r="I119" s="249"/>
    </row>
    <row r="120" spans="1:9" x14ac:dyDescent="0.2">
      <c r="A120" s="288" t="s">
        <v>140</v>
      </c>
      <c r="B120" s="263" t="s">
        <v>499</v>
      </c>
      <c r="C120" s="272"/>
      <c r="D120" s="274">
        <v>40142710</v>
      </c>
      <c r="E120" s="274">
        <v>38496066</v>
      </c>
      <c r="F120" s="274">
        <f t="shared" si="17"/>
        <v>22284958.689999998</v>
      </c>
      <c r="G120" s="274">
        <v>60781024.689999998</v>
      </c>
      <c r="H120" s="274">
        <v>59611891</v>
      </c>
      <c r="I120" s="249"/>
    </row>
    <row r="121" spans="1:9" x14ac:dyDescent="0.2">
      <c r="A121" s="251" t="s">
        <v>263</v>
      </c>
      <c r="B121" s="253" t="s">
        <v>500</v>
      </c>
      <c r="C121" s="245"/>
      <c r="D121" s="248">
        <v>58095911.399999999</v>
      </c>
      <c r="E121" s="248">
        <v>28026965.170000002</v>
      </c>
      <c r="F121" s="248">
        <f t="shared" si="17"/>
        <v>60624842.510000005</v>
      </c>
      <c r="G121" s="248">
        <v>88651807.680000007</v>
      </c>
      <c r="H121" s="248">
        <v>85769134.799999997</v>
      </c>
      <c r="I121" s="249"/>
    </row>
    <row r="122" spans="1:9" x14ac:dyDescent="0.2">
      <c r="A122" s="251" t="s">
        <v>501</v>
      </c>
      <c r="B122" s="253" t="s">
        <v>502</v>
      </c>
      <c r="C122" s="245"/>
      <c r="D122" s="248">
        <v>2116700</v>
      </c>
      <c r="E122" s="248">
        <v>1026900</v>
      </c>
      <c r="F122" s="248">
        <f t="shared" si="17"/>
        <v>2156900</v>
      </c>
      <c r="G122" s="248">
        <v>3183800</v>
      </c>
      <c r="H122" s="248">
        <v>2836800</v>
      </c>
      <c r="I122" s="249"/>
    </row>
    <row r="123" spans="1:9" x14ac:dyDescent="0.2">
      <c r="A123" s="251" t="s">
        <v>503</v>
      </c>
      <c r="B123" s="253" t="s">
        <v>504</v>
      </c>
      <c r="C123" s="245"/>
      <c r="D123" s="248">
        <v>5673426.4299999997</v>
      </c>
      <c r="E123" s="248">
        <v>3299705.38</v>
      </c>
      <c r="F123" s="248">
        <f t="shared" si="17"/>
        <v>7169184.1800000006</v>
      </c>
      <c r="G123" s="248">
        <v>10468889.560000001</v>
      </c>
      <c r="H123" s="248">
        <v>12102792.779999999</v>
      </c>
      <c r="I123" s="249"/>
    </row>
    <row r="124" spans="1:9" x14ac:dyDescent="0.2">
      <c r="A124" s="251" t="s">
        <v>32</v>
      </c>
      <c r="B124" s="253" t="s">
        <v>505</v>
      </c>
      <c r="C124" s="245"/>
      <c r="D124" s="248">
        <v>2111918.8199999998</v>
      </c>
      <c r="E124" s="248">
        <v>1025498.56</v>
      </c>
      <c r="F124" s="248">
        <f t="shared" si="17"/>
        <v>2158301.44</v>
      </c>
      <c r="G124" s="248">
        <v>3183800</v>
      </c>
      <c r="H124" s="248">
        <v>2836800</v>
      </c>
      <c r="I124" s="249"/>
    </row>
    <row r="125" spans="1:9" x14ac:dyDescent="0.2">
      <c r="A125" s="251" t="s">
        <v>506</v>
      </c>
      <c r="B125" s="253" t="s">
        <v>494</v>
      </c>
      <c r="C125" s="245"/>
      <c r="D125" s="248" t="e">
        <f>SUM('[3]Expenditures 2019'!$AU$21)</f>
        <v>#REF!</v>
      </c>
      <c r="E125" s="248"/>
      <c r="F125" s="248">
        <f t="shared" si="17"/>
        <v>0</v>
      </c>
      <c r="G125" s="248"/>
      <c r="H125" s="248"/>
      <c r="I125" s="249"/>
    </row>
    <row r="126" spans="1:9" x14ac:dyDescent="0.2">
      <c r="A126" s="251" t="s">
        <v>506</v>
      </c>
      <c r="B126" s="253" t="s">
        <v>507</v>
      </c>
      <c r="C126" s="245"/>
      <c r="D126" s="248">
        <v>1175713.8</v>
      </c>
      <c r="E126" s="248"/>
      <c r="F126" s="248"/>
      <c r="G126" s="248"/>
      <c r="H126" s="248"/>
      <c r="I126" s="249"/>
    </row>
    <row r="127" spans="1:9" x14ac:dyDescent="0.2">
      <c r="A127" s="251" t="s">
        <v>33</v>
      </c>
      <c r="B127" s="253" t="s">
        <v>508</v>
      </c>
      <c r="C127" s="245"/>
      <c r="D127" s="248">
        <v>17220575.73</v>
      </c>
      <c r="E127" s="248">
        <v>4827655.97</v>
      </c>
      <c r="F127" s="248">
        <f t="shared" si="17"/>
        <v>21101247.93</v>
      </c>
      <c r="G127" s="248">
        <v>25928903.899999999</v>
      </c>
      <c r="H127" s="248">
        <v>3640675.97</v>
      </c>
      <c r="I127" s="249"/>
    </row>
    <row r="128" spans="1:9" x14ac:dyDescent="0.2">
      <c r="A128" s="251" t="s">
        <v>35</v>
      </c>
      <c r="B128" s="253" t="s">
        <v>509</v>
      </c>
      <c r="C128" s="245"/>
      <c r="D128" s="248">
        <f>10291417.81+98940.7</f>
        <v>10390358.51</v>
      </c>
      <c r="E128" s="248">
        <v>238472.89</v>
      </c>
      <c r="F128" s="248">
        <f>G128-E128</f>
        <v>14084527.109999999</v>
      </c>
      <c r="G128" s="248">
        <v>14323000</v>
      </c>
      <c r="H128" s="248">
        <v>11820000</v>
      </c>
      <c r="I128" s="249"/>
    </row>
    <row r="129" spans="1:9" x14ac:dyDescent="0.2">
      <c r="A129" s="250" t="s">
        <v>510</v>
      </c>
      <c r="B129" s="253"/>
      <c r="C129" s="245"/>
      <c r="D129" s="267" t="e">
        <f>SUM(D107:D128)</f>
        <v>#REF!</v>
      </c>
      <c r="E129" s="267">
        <f>SUM(E107:E128)</f>
        <v>354305916.12000006</v>
      </c>
      <c r="F129" s="267">
        <f>SUM(F107:F128)</f>
        <v>823567598.37</v>
      </c>
      <c r="G129" s="267">
        <f>SUM(G107:G128)</f>
        <v>1177873514.49</v>
      </c>
      <c r="H129" s="267">
        <f>SUM(H107:H128)</f>
        <v>1061565469.4399999</v>
      </c>
      <c r="I129" s="249"/>
    </row>
    <row r="130" spans="1:9" x14ac:dyDescent="0.2">
      <c r="A130" s="250" t="s">
        <v>511</v>
      </c>
      <c r="B130" s="253"/>
      <c r="C130" s="245"/>
      <c r="D130" s="248"/>
      <c r="E130" s="248"/>
      <c r="F130" s="248"/>
      <c r="G130" s="248"/>
      <c r="H130" s="248"/>
      <c r="I130" s="249"/>
    </row>
    <row r="131" spans="1:9" x14ac:dyDescent="0.2">
      <c r="A131" s="251" t="s">
        <v>512</v>
      </c>
      <c r="B131" s="253" t="s">
        <v>513</v>
      </c>
      <c r="C131" s="245"/>
      <c r="D131" s="248">
        <f>1364513+13200</f>
        <v>1377713</v>
      </c>
      <c r="E131" s="248">
        <v>161617</v>
      </c>
      <c r="F131" s="248">
        <f t="shared" ref="F131:F185" si="18">G131-E131</f>
        <v>3700183</v>
      </c>
      <c r="G131" s="248">
        <v>3861800</v>
      </c>
      <c r="H131" s="248">
        <v>3690900</v>
      </c>
      <c r="I131" s="249"/>
    </row>
    <row r="132" spans="1:9" x14ac:dyDescent="0.2">
      <c r="A132" s="251" t="s">
        <v>514</v>
      </c>
      <c r="B132" s="253" t="s">
        <v>515</v>
      </c>
      <c r="C132" s="245"/>
      <c r="D132" s="248"/>
      <c r="E132" s="248"/>
      <c r="F132" s="248">
        <f t="shared" si="18"/>
        <v>1000000</v>
      </c>
      <c r="G132" s="248">
        <v>1000000</v>
      </c>
      <c r="H132" s="248">
        <v>1000000</v>
      </c>
      <c r="I132" s="249"/>
    </row>
    <row r="133" spans="1:9" x14ac:dyDescent="0.2">
      <c r="A133" s="251" t="s">
        <v>39</v>
      </c>
      <c r="B133" s="253" t="s">
        <v>516</v>
      </c>
      <c r="C133" s="245"/>
      <c r="D133" s="248">
        <f>1598949.09+12792</f>
        <v>1611741.09</v>
      </c>
      <c r="E133" s="248">
        <v>465127.84</v>
      </c>
      <c r="F133" s="248">
        <f t="shared" si="18"/>
        <v>11720183.16</v>
      </c>
      <c r="G133" s="248">
        <v>12185311</v>
      </c>
      <c r="H133" s="248">
        <v>9884500</v>
      </c>
      <c r="I133" s="249"/>
    </row>
    <row r="134" spans="1:9" x14ac:dyDescent="0.2">
      <c r="A134" s="251" t="s">
        <v>142</v>
      </c>
      <c r="B134" s="253" t="s">
        <v>517</v>
      </c>
      <c r="C134" s="245"/>
      <c r="D134" s="248">
        <v>6138500</v>
      </c>
      <c r="E134" s="248"/>
      <c r="F134" s="248">
        <f t="shared" si="18"/>
        <v>26000000</v>
      </c>
      <c r="G134" s="248">
        <v>26000000</v>
      </c>
      <c r="H134" s="248">
        <v>33000000</v>
      </c>
      <c r="I134" s="249"/>
    </row>
    <row r="135" spans="1:9" x14ac:dyDescent="0.2">
      <c r="A135" s="251" t="s">
        <v>518</v>
      </c>
      <c r="B135" s="253" t="s">
        <v>519</v>
      </c>
      <c r="C135" s="245"/>
      <c r="D135" s="248">
        <f>9524290.85+171750</f>
        <v>9696040.8499999996</v>
      </c>
      <c r="E135" s="248">
        <v>1104753.1000000001</v>
      </c>
      <c r="F135" s="248">
        <f t="shared" si="18"/>
        <v>12288746.9</v>
      </c>
      <c r="G135" s="248">
        <v>13393500</v>
      </c>
      <c r="H135" s="248">
        <v>12293500</v>
      </c>
      <c r="I135" s="249"/>
    </row>
    <row r="136" spans="1:9" x14ac:dyDescent="0.2">
      <c r="A136" s="251" t="s">
        <v>41</v>
      </c>
      <c r="B136" s="253" t="s">
        <v>520</v>
      </c>
      <c r="C136" s="245"/>
      <c r="D136" s="248">
        <v>799880</v>
      </c>
      <c r="E136" s="248"/>
      <c r="F136" s="248">
        <f t="shared" si="18"/>
        <v>880000</v>
      </c>
      <c r="G136" s="248">
        <v>880000</v>
      </c>
      <c r="H136" s="248">
        <v>880000</v>
      </c>
      <c r="I136" s="249"/>
    </row>
    <row r="137" spans="1:9" x14ac:dyDescent="0.2">
      <c r="A137" s="251" t="s">
        <v>42</v>
      </c>
      <c r="B137" s="253" t="s">
        <v>521</v>
      </c>
      <c r="C137" s="245"/>
      <c r="D137" s="248"/>
      <c r="E137" s="248"/>
      <c r="F137" s="248">
        <f t="shared" si="18"/>
        <v>50000</v>
      </c>
      <c r="G137" s="248">
        <v>50000</v>
      </c>
      <c r="H137" s="248">
        <v>50000</v>
      </c>
      <c r="I137" s="249"/>
    </row>
    <row r="138" spans="1:9" x14ac:dyDescent="0.2">
      <c r="A138" s="251" t="s">
        <v>43</v>
      </c>
      <c r="B138" s="253" t="s">
        <v>522</v>
      </c>
      <c r="C138" s="245"/>
      <c r="D138" s="248">
        <v>11536745.5</v>
      </c>
      <c r="E138" s="248">
        <v>5526429.75</v>
      </c>
      <c r="F138" s="248">
        <f t="shared" si="18"/>
        <v>15486320.25</v>
      </c>
      <c r="G138" s="248">
        <v>21012750</v>
      </c>
      <c r="H138" s="248">
        <v>21012640.170000002</v>
      </c>
      <c r="I138" s="249"/>
    </row>
    <row r="139" spans="1:9" x14ac:dyDescent="0.2">
      <c r="A139" s="251" t="s">
        <v>88</v>
      </c>
      <c r="B139" s="253" t="s">
        <v>523</v>
      </c>
      <c r="C139" s="245"/>
      <c r="D139" s="248">
        <v>194185</v>
      </c>
      <c r="E139" s="248"/>
      <c r="F139" s="248">
        <f t="shared" si="18"/>
        <v>4500000</v>
      </c>
      <c r="G139" s="248">
        <v>4500000</v>
      </c>
      <c r="H139" s="248">
        <v>5000000</v>
      </c>
      <c r="I139" s="249"/>
    </row>
    <row r="140" spans="1:9" x14ac:dyDescent="0.2">
      <c r="A140" s="251" t="s">
        <v>150</v>
      </c>
      <c r="B140" s="253" t="s">
        <v>524</v>
      </c>
      <c r="C140" s="245"/>
      <c r="D140" s="248">
        <v>127327686.15000001</v>
      </c>
      <c r="E140" s="248">
        <v>1588838.12</v>
      </c>
      <c r="F140" s="248">
        <f t="shared" si="18"/>
        <v>175769949.38</v>
      </c>
      <c r="G140" s="248">
        <v>177358787.5</v>
      </c>
      <c r="H140" s="248">
        <v>135720000</v>
      </c>
      <c r="I140" s="249"/>
    </row>
    <row r="141" spans="1:9" x14ac:dyDescent="0.2">
      <c r="A141" s="251" t="s">
        <v>525</v>
      </c>
      <c r="B141" s="253" t="s">
        <v>526</v>
      </c>
      <c r="C141" s="245"/>
      <c r="D141" s="248">
        <v>153293842.63</v>
      </c>
      <c r="E141" s="248">
        <v>2093136</v>
      </c>
      <c r="F141" s="248">
        <f t="shared" si="18"/>
        <v>184147789.87</v>
      </c>
      <c r="G141" s="248">
        <f>181165725.87+5075200</f>
        <v>186240925.87</v>
      </c>
      <c r="H141" s="248">
        <v>151055000</v>
      </c>
      <c r="I141" s="249"/>
    </row>
    <row r="142" spans="1:9" x14ac:dyDescent="0.2">
      <c r="A142" s="251" t="s">
        <v>44</v>
      </c>
      <c r="B142" s="253" t="s">
        <v>527</v>
      </c>
      <c r="C142" s="245"/>
      <c r="D142" s="248">
        <f>11993613.49+3750</f>
        <v>11997363.49</v>
      </c>
      <c r="E142" s="248">
        <v>3576582.18</v>
      </c>
      <c r="F142" s="248">
        <f t="shared" si="18"/>
        <v>19352517.82</v>
      </c>
      <c r="G142" s="248">
        <v>22929100</v>
      </c>
      <c r="H142" s="248">
        <v>21704100</v>
      </c>
      <c r="I142" s="249"/>
    </row>
    <row r="143" spans="1:9" x14ac:dyDescent="0.2">
      <c r="A143" s="251" t="s">
        <v>152</v>
      </c>
      <c r="B143" s="253" t="s">
        <v>528</v>
      </c>
      <c r="C143" s="245"/>
      <c r="D143" s="248">
        <v>106983</v>
      </c>
      <c r="E143" s="248"/>
      <c r="F143" s="248">
        <f t="shared" si="18"/>
        <v>275000</v>
      </c>
      <c r="G143" s="248">
        <v>275000</v>
      </c>
      <c r="H143" s="248">
        <v>275000</v>
      </c>
      <c r="I143" s="249"/>
    </row>
    <row r="144" spans="1:9" x14ac:dyDescent="0.2">
      <c r="A144" s="251" t="s">
        <v>46</v>
      </c>
      <c r="B144" s="253" t="s">
        <v>529</v>
      </c>
      <c r="C144" s="245"/>
      <c r="D144" s="248"/>
      <c r="E144" s="248"/>
      <c r="F144" s="248">
        <f t="shared" si="18"/>
        <v>5300000</v>
      </c>
      <c r="G144" s="248">
        <v>5300000</v>
      </c>
      <c r="H144" s="248">
        <v>5390000</v>
      </c>
      <c r="I144" s="249"/>
    </row>
    <row r="145" spans="1:9" x14ac:dyDescent="0.2">
      <c r="A145" s="251" t="s">
        <v>48</v>
      </c>
      <c r="B145" s="253" t="s">
        <v>530</v>
      </c>
      <c r="C145" s="245"/>
      <c r="D145" s="248">
        <f>7548742.96+24071.5</f>
        <v>7572814.46</v>
      </c>
      <c r="E145" s="248">
        <v>1848334.26</v>
      </c>
      <c r="F145" s="248">
        <f t="shared" si="18"/>
        <v>24530023.739999998</v>
      </c>
      <c r="G145" s="248">
        <v>26378358</v>
      </c>
      <c r="H145" s="248">
        <v>25499340</v>
      </c>
      <c r="I145" s="249"/>
    </row>
    <row r="146" spans="1:9" x14ac:dyDescent="0.2">
      <c r="A146" s="251" t="s">
        <v>50</v>
      </c>
      <c r="B146" s="253" t="s">
        <v>531</v>
      </c>
      <c r="C146" s="245"/>
      <c r="D146" s="248">
        <v>11229869.279999999</v>
      </c>
      <c r="E146" s="248">
        <v>3623015.22</v>
      </c>
      <c r="F146" s="248">
        <f t="shared" si="18"/>
        <v>13486984.779999999</v>
      </c>
      <c r="G146" s="248">
        <v>17110000</v>
      </c>
      <c r="H146" s="248">
        <v>13610537.01</v>
      </c>
      <c r="I146" s="249"/>
    </row>
    <row r="147" spans="1:9" x14ac:dyDescent="0.2">
      <c r="A147" s="251" t="s">
        <v>52</v>
      </c>
      <c r="B147" s="253" t="s">
        <v>532</v>
      </c>
      <c r="C147" s="245"/>
      <c r="D147" s="248">
        <v>46853775.030000001</v>
      </c>
      <c r="E147" s="248">
        <v>11166854.84</v>
      </c>
      <c r="F147" s="248">
        <f t="shared" si="18"/>
        <v>48949145.159999996</v>
      </c>
      <c r="G147" s="248">
        <v>60116000</v>
      </c>
      <c r="H147" s="248">
        <v>58340000</v>
      </c>
      <c r="I147" s="249"/>
    </row>
    <row r="148" spans="1:9" x14ac:dyDescent="0.2">
      <c r="A148" s="251" t="s">
        <v>533</v>
      </c>
      <c r="B148" s="253" t="s">
        <v>534</v>
      </c>
      <c r="C148" s="245"/>
      <c r="D148" s="248">
        <v>326009</v>
      </c>
      <c r="E148" s="248">
        <v>104783</v>
      </c>
      <c r="F148" s="248">
        <f t="shared" si="18"/>
        <v>355017</v>
      </c>
      <c r="G148" s="248">
        <v>459800</v>
      </c>
      <c r="H148" s="248">
        <v>771800</v>
      </c>
      <c r="I148" s="249"/>
    </row>
    <row r="149" spans="1:9" x14ac:dyDescent="0.2">
      <c r="A149" s="251" t="s">
        <v>55</v>
      </c>
      <c r="B149" s="253" t="s">
        <v>535</v>
      </c>
      <c r="C149" s="245"/>
      <c r="D149" s="248">
        <v>2142921.17</v>
      </c>
      <c r="E149" s="248">
        <v>989845.62</v>
      </c>
      <c r="F149" s="248">
        <f t="shared" si="18"/>
        <v>2264354.38</v>
      </c>
      <c r="G149" s="248">
        <v>3254200</v>
      </c>
      <c r="H149" s="248">
        <v>3155752</v>
      </c>
      <c r="I149" s="249"/>
    </row>
    <row r="150" spans="1:9" x14ac:dyDescent="0.2">
      <c r="A150" s="251" t="s">
        <v>56</v>
      </c>
      <c r="B150" s="253" t="s">
        <v>536</v>
      </c>
      <c r="C150" s="245"/>
      <c r="D150" s="248">
        <v>2376877.91</v>
      </c>
      <c r="E150" s="248">
        <v>1431502.8</v>
      </c>
      <c r="F150" s="248">
        <f t="shared" si="18"/>
        <v>3065777.2</v>
      </c>
      <c r="G150" s="248">
        <v>4497280</v>
      </c>
      <c r="H150" s="248">
        <v>4910000</v>
      </c>
      <c r="I150" s="249"/>
    </row>
    <row r="151" spans="1:9" x14ac:dyDescent="0.2">
      <c r="A151" s="287" t="s">
        <v>57</v>
      </c>
      <c r="B151" s="260" t="s">
        <v>537</v>
      </c>
      <c r="C151" s="270"/>
      <c r="D151" s="254"/>
      <c r="E151" s="254"/>
      <c r="F151" s="254">
        <f t="shared" si="18"/>
        <v>50000</v>
      </c>
      <c r="G151" s="254">
        <v>50000</v>
      </c>
      <c r="H151" s="254">
        <v>50000</v>
      </c>
      <c r="I151" s="249"/>
    </row>
    <row r="152" spans="1:9" x14ac:dyDescent="0.2">
      <c r="A152" s="288" t="s">
        <v>66</v>
      </c>
      <c r="B152" s="263" t="s">
        <v>538</v>
      </c>
      <c r="C152" s="272"/>
      <c r="D152" s="274">
        <v>166400</v>
      </c>
      <c r="E152" s="274"/>
      <c r="F152" s="274">
        <f t="shared" si="18"/>
        <v>1445000</v>
      </c>
      <c r="G152" s="274">
        <v>1445000</v>
      </c>
      <c r="H152" s="274">
        <v>2188700</v>
      </c>
      <c r="I152" s="249"/>
    </row>
    <row r="153" spans="1:9" x14ac:dyDescent="0.2">
      <c r="A153" s="251" t="s">
        <v>68</v>
      </c>
      <c r="B153" s="253" t="s">
        <v>539</v>
      </c>
      <c r="C153" s="245"/>
      <c r="D153" s="248">
        <v>10921700</v>
      </c>
      <c r="E153" s="248">
        <v>300000</v>
      </c>
      <c r="F153" s="248">
        <f t="shared" si="18"/>
        <v>27143700</v>
      </c>
      <c r="G153" s="248">
        <f>573000+26870700</f>
        <v>27443700</v>
      </c>
      <c r="H153" s="248">
        <v>27250700</v>
      </c>
      <c r="I153" s="249"/>
    </row>
    <row r="154" spans="1:9" x14ac:dyDescent="0.2">
      <c r="A154" s="251" t="s">
        <v>540</v>
      </c>
      <c r="B154" s="253" t="s">
        <v>541</v>
      </c>
      <c r="C154" s="245"/>
      <c r="D154" s="248">
        <v>796050</v>
      </c>
      <c r="E154" s="248"/>
      <c r="F154" s="248">
        <f t="shared" si="18"/>
        <v>2000000</v>
      </c>
      <c r="G154" s="248">
        <v>2000000</v>
      </c>
      <c r="H154" s="248">
        <v>2000000</v>
      </c>
      <c r="I154" s="249"/>
    </row>
    <row r="155" spans="1:9" x14ac:dyDescent="0.2">
      <c r="A155" s="251" t="s">
        <v>320</v>
      </c>
      <c r="B155" s="253" t="s">
        <v>542</v>
      </c>
      <c r="C155" s="245"/>
      <c r="D155" s="248"/>
      <c r="E155" s="248"/>
      <c r="F155" s="248">
        <f t="shared" si="18"/>
        <v>1100000</v>
      </c>
      <c r="G155" s="248">
        <v>1100000</v>
      </c>
      <c r="H155" s="248"/>
      <c r="I155" s="249"/>
    </row>
    <row r="156" spans="1:9" x14ac:dyDescent="0.2">
      <c r="A156" s="251" t="s">
        <v>543</v>
      </c>
      <c r="B156" s="253" t="s">
        <v>544</v>
      </c>
      <c r="C156" s="245"/>
      <c r="D156" s="248">
        <v>78500</v>
      </c>
      <c r="E156" s="248"/>
      <c r="F156" s="248">
        <f t="shared" si="18"/>
        <v>225000</v>
      </c>
      <c r="G156" s="248">
        <v>225000</v>
      </c>
      <c r="H156" s="248">
        <v>100000</v>
      </c>
      <c r="I156" s="249"/>
    </row>
    <row r="157" spans="1:9" x14ac:dyDescent="0.2">
      <c r="A157" s="251" t="s">
        <v>83</v>
      </c>
      <c r="B157" s="253" t="s">
        <v>545</v>
      </c>
      <c r="C157" s="245"/>
      <c r="D157" s="248">
        <v>77000000</v>
      </c>
      <c r="E157" s="248">
        <v>33000000</v>
      </c>
      <c r="F157" s="248">
        <f t="shared" si="18"/>
        <v>45000000</v>
      </c>
      <c r="G157" s="248">
        <v>78000000</v>
      </c>
      <c r="H157" s="248">
        <v>80000000</v>
      </c>
      <c r="I157" s="249"/>
    </row>
    <row r="158" spans="1:9" x14ac:dyDescent="0.2">
      <c r="A158" s="251" t="s">
        <v>86</v>
      </c>
      <c r="B158" s="253" t="s">
        <v>546</v>
      </c>
      <c r="C158" s="245"/>
      <c r="D158" s="248">
        <v>5686074.6399999997</v>
      </c>
      <c r="E158" s="248"/>
      <c r="F158" s="248">
        <f t="shared" si="18"/>
        <v>6715883.3600000003</v>
      </c>
      <c r="G158" s="248">
        <v>6715883.3600000003</v>
      </c>
      <c r="H158" s="248">
        <v>7210690</v>
      </c>
      <c r="I158" s="249"/>
    </row>
    <row r="159" spans="1:9" x14ac:dyDescent="0.2">
      <c r="A159" s="251" t="s">
        <v>159</v>
      </c>
      <c r="B159" s="253" t="s">
        <v>538</v>
      </c>
      <c r="C159" s="245"/>
      <c r="D159" s="248" t="e">
        <f>SUM('[3]Expenditures 2019'!$AU$59)</f>
        <v>#REF!</v>
      </c>
      <c r="E159" s="248"/>
      <c r="F159" s="248">
        <f t="shared" si="18"/>
        <v>0</v>
      </c>
      <c r="G159" s="248"/>
      <c r="H159" s="248"/>
      <c r="I159" s="249"/>
    </row>
    <row r="160" spans="1:9" x14ac:dyDescent="0.2">
      <c r="A160" s="251" t="s">
        <v>69</v>
      </c>
      <c r="B160" s="253" t="s">
        <v>547</v>
      </c>
      <c r="C160" s="245"/>
      <c r="D160" s="248">
        <v>44340921.600000001</v>
      </c>
      <c r="E160" s="248">
        <v>18277900.300000001</v>
      </c>
      <c r="F160" s="248">
        <f t="shared" si="18"/>
        <v>39598007.700000003</v>
      </c>
      <c r="G160" s="248">
        <v>57875908</v>
      </c>
      <c r="H160" s="248">
        <v>74826366</v>
      </c>
      <c r="I160" s="249"/>
    </row>
    <row r="161" spans="1:9" x14ac:dyDescent="0.2">
      <c r="A161" s="289" t="s">
        <v>72</v>
      </c>
      <c r="B161" s="253" t="s">
        <v>548</v>
      </c>
      <c r="C161" s="245"/>
      <c r="D161" s="248">
        <f>657539+5159000</f>
        <v>5816539</v>
      </c>
      <c r="E161" s="248">
        <v>60000</v>
      </c>
      <c r="F161" s="248">
        <f t="shared" si="18"/>
        <v>6027000</v>
      </c>
      <c r="G161" s="248">
        <v>6087000</v>
      </c>
      <c r="H161" s="248">
        <v>6024000</v>
      </c>
      <c r="I161" s="249"/>
    </row>
    <row r="162" spans="1:9" x14ac:dyDescent="0.2">
      <c r="A162" s="251" t="s">
        <v>160</v>
      </c>
      <c r="B162" s="253" t="s">
        <v>549</v>
      </c>
      <c r="C162" s="245"/>
      <c r="D162" s="248">
        <v>2591608</v>
      </c>
      <c r="E162" s="248">
        <v>970168.5</v>
      </c>
      <c r="F162" s="248">
        <f t="shared" si="18"/>
        <v>3879831.5</v>
      </c>
      <c r="G162" s="248">
        <v>4850000</v>
      </c>
      <c r="H162" s="248">
        <v>4800000</v>
      </c>
      <c r="I162" s="290"/>
    </row>
    <row r="163" spans="1:9" x14ac:dyDescent="0.2">
      <c r="A163" s="251" t="s">
        <v>71</v>
      </c>
      <c r="B163" s="253" t="s">
        <v>550</v>
      </c>
      <c r="C163" s="245"/>
      <c r="D163" s="248">
        <v>21380477.530000001</v>
      </c>
      <c r="E163" s="248">
        <v>11061915</v>
      </c>
      <c r="F163" s="248">
        <f t="shared" si="18"/>
        <v>17478826.079999998</v>
      </c>
      <c r="G163" s="248">
        <v>28540741.079999998</v>
      </c>
      <c r="H163" s="248">
        <v>30250000</v>
      </c>
      <c r="I163" s="249"/>
    </row>
    <row r="164" spans="1:9" x14ac:dyDescent="0.2">
      <c r="A164" s="251" t="s">
        <v>551</v>
      </c>
      <c r="B164" s="253" t="s">
        <v>552</v>
      </c>
      <c r="C164" s="245"/>
      <c r="D164" s="248" t="e">
        <f>SUM('[3]Expenditures 2019'!$AU$75)+'[3]Expenditures 2019'!$AU$102</f>
        <v>#REF!</v>
      </c>
      <c r="E164" s="248"/>
      <c r="F164" s="248">
        <f t="shared" si="18"/>
        <v>75000</v>
      </c>
      <c r="G164" s="248">
        <v>75000</v>
      </c>
      <c r="H164" s="248"/>
      <c r="I164" s="249"/>
    </row>
    <row r="165" spans="1:9" x14ac:dyDescent="0.2">
      <c r="A165" s="251" t="s">
        <v>553</v>
      </c>
      <c r="B165" s="253" t="s">
        <v>554</v>
      </c>
      <c r="C165" s="245"/>
      <c r="D165" s="248">
        <f>76668373.14+268778.63</f>
        <v>76937151.769999996</v>
      </c>
      <c r="E165" s="248"/>
      <c r="F165" s="248">
        <f t="shared" si="18"/>
        <v>177270000</v>
      </c>
      <c r="G165" s="248">
        <v>177270000</v>
      </c>
      <c r="H165" s="248">
        <v>108870000</v>
      </c>
      <c r="I165" s="249"/>
    </row>
    <row r="166" spans="1:9" x14ac:dyDescent="0.2">
      <c r="A166" s="251" t="s">
        <v>555</v>
      </c>
      <c r="B166" s="253" t="s">
        <v>556</v>
      </c>
      <c r="C166" s="245"/>
      <c r="D166" s="248">
        <f>116371332+80000</f>
        <v>116451332</v>
      </c>
      <c r="E166" s="248">
        <v>7765.5</v>
      </c>
      <c r="F166" s="248">
        <f t="shared" si="18"/>
        <v>46527097</v>
      </c>
      <c r="G166" s="248">
        <v>46534862.5</v>
      </c>
      <c r="H166" s="248">
        <v>40855700</v>
      </c>
      <c r="I166" s="249"/>
    </row>
    <row r="167" spans="1:9" x14ac:dyDescent="0.2">
      <c r="A167" s="251" t="s">
        <v>557</v>
      </c>
      <c r="B167" s="253" t="s">
        <v>558</v>
      </c>
      <c r="C167" s="245"/>
      <c r="D167" s="248">
        <v>4712932.6500000004</v>
      </c>
      <c r="E167" s="248">
        <v>3150</v>
      </c>
      <c r="F167" s="248">
        <f t="shared" si="18"/>
        <v>8748600</v>
      </c>
      <c r="G167" s="248">
        <v>8751750</v>
      </c>
      <c r="H167" s="248">
        <v>8611750</v>
      </c>
      <c r="I167" s="249"/>
    </row>
    <row r="168" spans="1:9" x14ac:dyDescent="0.2">
      <c r="A168" s="251" t="s">
        <v>559</v>
      </c>
      <c r="B168" s="253" t="s">
        <v>560</v>
      </c>
      <c r="C168" s="245"/>
      <c r="D168" s="248">
        <v>6014260.2300000004</v>
      </c>
      <c r="E168" s="248">
        <v>137229.14000000001</v>
      </c>
      <c r="F168" s="248">
        <f t="shared" si="18"/>
        <v>7612770.8600000003</v>
      </c>
      <c r="G168" s="248">
        <v>7750000</v>
      </c>
      <c r="H168" s="248">
        <v>7750000</v>
      </c>
      <c r="I168" s="249"/>
    </row>
    <row r="169" spans="1:9" x14ac:dyDescent="0.2">
      <c r="A169" s="251" t="s">
        <v>561</v>
      </c>
      <c r="B169" s="253" t="s">
        <v>562</v>
      </c>
      <c r="C169" s="245"/>
      <c r="D169" s="248">
        <v>40220</v>
      </c>
      <c r="E169" s="248"/>
      <c r="F169" s="248">
        <f t="shared" si="18"/>
        <v>490000</v>
      </c>
      <c r="G169" s="248">
        <v>490000</v>
      </c>
      <c r="H169" s="248">
        <v>388000</v>
      </c>
      <c r="I169" s="249"/>
    </row>
    <row r="170" spans="1:9" x14ac:dyDescent="0.2">
      <c r="A170" s="251" t="s">
        <v>563</v>
      </c>
      <c r="B170" s="253" t="s">
        <v>564</v>
      </c>
      <c r="C170" s="245"/>
      <c r="D170" s="248">
        <v>66323</v>
      </c>
      <c r="E170" s="248"/>
      <c r="F170" s="248">
        <f t="shared" si="18"/>
        <v>420000</v>
      </c>
      <c r="G170" s="248">
        <v>420000</v>
      </c>
      <c r="H170" s="248">
        <v>455000</v>
      </c>
      <c r="I170" s="249"/>
    </row>
    <row r="171" spans="1:9" x14ac:dyDescent="0.2">
      <c r="A171" s="251" t="s">
        <v>284</v>
      </c>
      <c r="B171" s="253" t="s">
        <v>565</v>
      </c>
      <c r="C171" s="245"/>
      <c r="D171" s="248">
        <f>462394.96+127638.09</f>
        <v>590033.05000000005</v>
      </c>
      <c r="E171" s="248">
        <v>372385.94</v>
      </c>
      <c r="F171" s="248">
        <f t="shared" si="18"/>
        <v>36707614.060000002</v>
      </c>
      <c r="G171" s="248">
        <v>37080000</v>
      </c>
      <c r="H171" s="248">
        <v>28080000</v>
      </c>
      <c r="I171" s="249"/>
    </row>
    <row r="172" spans="1:9" x14ac:dyDescent="0.2">
      <c r="A172" s="251" t="s">
        <v>311</v>
      </c>
      <c r="B172" s="253" t="s">
        <v>566</v>
      </c>
      <c r="C172" s="245"/>
      <c r="D172" s="248">
        <v>113850324</v>
      </c>
      <c r="E172" s="248">
        <v>100276500</v>
      </c>
      <c r="F172" s="248">
        <f t="shared" si="18"/>
        <v>236473500</v>
      </c>
      <c r="G172" s="248">
        <v>336750000</v>
      </c>
      <c r="H172" s="248">
        <v>349981000</v>
      </c>
      <c r="I172" s="249"/>
    </row>
    <row r="173" spans="1:9" x14ac:dyDescent="0.2">
      <c r="A173" s="251" t="s">
        <v>567</v>
      </c>
      <c r="B173" s="253"/>
      <c r="C173" s="245"/>
      <c r="D173" s="248"/>
      <c r="E173" s="248"/>
      <c r="F173" s="248">
        <f t="shared" si="18"/>
        <v>0</v>
      </c>
      <c r="G173" s="248"/>
      <c r="H173" s="248"/>
      <c r="I173" s="249"/>
    </row>
    <row r="174" spans="1:9" x14ac:dyDescent="0.2">
      <c r="A174" s="252" t="s">
        <v>568</v>
      </c>
      <c r="B174" s="253"/>
      <c r="C174" s="245"/>
      <c r="D174" s="248"/>
      <c r="E174" s="248"/>
      <c r="F174" s="248">
        <f t="shared" si="18"/>
        <v>0</v>
      </c>
      <c r="G174" s="248"/>
      <c r="H174" s="248"/>
      <c r="I174" s="249"/>
    </row>
    <row r="175" spans="1:9" x14ac:dyDescent="0.2">
      <c r="A175" s="251" t="s">
        <v>172</v>
      </c>
      <c r="B175" s="253" t="s">
        <v>569</v>
      </c>
      <c r="C175" s="245"/>
      <c r="D175" s="248">
        <v>6234203.6299999999</v>
      </c>
      <c r="E175" s="248">
        <v>507510.74</v>
      </c>
      <c r="F175" s="248">
        <f t="shared" si="18"/>
        <v>8475118.9199999999</v>
      </c>
      <c r="G175" s="248">
        <v>8982629.6600000001</v>
      </c>
      <c r="H175" s="248">
        <v>8886834.6600000001</v>
      </c>
      <c r="I175" s="249"/>
    </row>
    <row r="176" spans="1:9" x14ac:dyDescent="0.2">
      <c r="A176" s="251" t="s">
        <v>570</v>
      </c>
      <c r="B176" s="253" t="s">
        <v>571</v>
      </c>
      <c r="C176" s="245"/>
      <c r="D176" s="248">
        <v>207029.05</v>
      </c>
      <c r="E176" s="248">
        <v>128527.8</v>
      </c>
      <c r="F176" s="248">
        <f t="shared" si="18"/>
        <v>171472.2</v>
      </c>
      <c r="G176" s="248">
        <v>300000</v>
      </c>
      <c r="H176" s="248">
        <v>300000</v>
      </c>
      <c r="I176" s="249"/>
    </row>
    <row r="177" spans="1:18" ht="15" customHeight="1" x14ac:dyDescent="0.2">
      <c r="A177" s="251" t="s">
        <v>87</v>
      </c>
      <c r="B177" s="253" t="s">
        <v>572</v>
      </c>
      <c r="C177" s="245"/>
      <c r="D177" s="248">
        <v>115768.58</v>
      </c>
      <c r="E177" s="248">
        <v>76616.899999999994</v>
      </c>
      <c r="F177" s="248">
        <f t="shared" si="18"/>
        <v>69194.770000000019</v>
      </c>
      <c r="G177" s="248">
        <v>145811.67000000001</v>
      </c>
      <c r="H177" s="248">
        <v>145811.67000000001</v>
      </c>
      <c r="I177" s="249"/>
      <c r="R177" s="291">
        <f>1146276408.11-1214283740.6</f>
        <v>-68007332.49000001</v>
      </c>
    </row>
    <row r="178" spans="1:18" ht="15" customHeight="1" x14ac:dyDescent="0.2">
      <c r="A178" s="251" t="s">
        <v>61</v>
      </c>
      <c r="B178" s="253" t="s">
        <v>573</v>
      </c>
      <c r="C178" s="245"/>
      <c r="D178" s="248">
        <v>581958.72</v>
      </c>
      <c r="E178" s="248">
        <v>172972.79999999999</v>
      </c>
      <c r="F178" s="248">
        <f t="shared" si="18"/>
        <v>4337027.2</v>
      </c>
      <c r="G178" s="248">
        <v>4510000</v>
      </c>
      <c r="H178" s="248">
        <v>4310000</v>
      </c>
      <c r="I178" s="249"/>
    </row>
    <row r="179" spans="1:18" ht="15" customHeight="1" x14ac:dyDescent="0.2">
      <c r="A179" s="251" t="s">
        <v>62</v>
      </c>
      <c r="B179" s="253" t="s">
        <v>574</v>
      </c>
      <c r="C179" s="245"/>
      <c r="D179" s="248" t="e">
        <f>SUM('[3]Expenditures 2019'!$AU$88)</f>
        <v>#REF!</v>
      </c>
      <c r="E179" s="248"/>
      <c r="F179" s="248">
        <f t="shared" si="18"/>
        <v>2820000</v>
      </c>
      <c r="G179" s="248">
        <v>2820000</v>
      </c>
      <c r="H179" s="248">
        <v>2540000</v>
      </c>
      <c r="I179" s="249"/>
    </row>
    <row r="180" spans="1:18" ht="15" customHeight="1" x14ac:dyDescent="0.2">
      <c r="A180" s="251" t="s">
        <v>156</v>
      </c>
      <c r="B180" s="253" t="s">
        <v>575</v>
      </c>
      <c r="C180" s="245"/>
      <c r="D180" s="248"/>
      <c r="E180" s="248"/>
      <c r="F180" s="248">
        <f t="shared" si="18"/>
        <v>300000</v>
      </c>
      <c r="G180" s="248">
        <v>300000</v>
      </c>
      <c r="H180" s="248">
        <v>300000</v>
      </c>
      <c r="I180" s="249"/>
    </row>
    <row r="181" spans="1:18" ht="15" customHeight="1" x14ac:dyDescent="0.2">
      <c r="A181" s="251" t="s">
        <v>63</v>
      </c>
      <c r="B181" s="253" t="s">
        <v>576</v>
      </c>
      <c r="C181" s="245"/>
      <c r="D181" s="248">
        <v>1086203.73</v>
      </c>
      <c r="E181" s="248">
        <v>873143.5</v>
      </c>
      <c r="F181" s="248">
        <f t="shared" si="18"/>
        <v>1226776.5</v>
      </c>
      <c r="G181" s="248">
        <v>2099920</v>
      </c>
      <c r="H181" s="248">
        <v>2099920</v>
      </c>
      <c r="I181" s="249"/>
    </row>
    <row r="182" spans="1:18" ht="15" customHeight="1" x14ac:dyDescent="0.2">
      <c r="A182" s="251" t="s">
        <v>577</v>
      </c>
      <c r="B182" s="253" t="s">
        <v>578</v>
      </c>
      <c r="C182" s="245"/>
      <c r="D182" s="248">
        <v>370000</v>
      </c>
      <c r="E182" s="248">
        <v>600000</v>
      </c>
      <c r="F182" s="248">
        <f t="shared" si="18"/>
        <v>2070000</v>
      </c>
      <c r="G182" s="248">
        <f>1170000+1500000</f>
        <v>2670000</v>
      </c>
      <c r="H182" s="248">
        <v>1140000</v>
      </c>
      <c r="I182" s="249"/>
    </row>
    <row r="183" spans="1:18" ht="15" customHeight="1" x14ac:dyDescent="0.2">
      <c r="A183" s="251" t="s">
        <v>65</v>
      </c>
      <c r="B183" s="253" t="s">
        <v>579</v>
      </c>
      <c r="C183" s="245"/>
      <c r="D183" s="248">
        <v>48764</v>
      </c>
      <c r="E183" s="248">
        <v>9102</v>
      </c>
      <c r="F183" s="248">
        <f t="shared" si="18"/>
        <v>235898</v>
      </c>
      <c r="G183" s="248">
        <v>245000</v>
      </c>
      <c r="H183" s="248">
        <v>245000</v>
      </c>
      <c r="I183" s="249"/>
    </row>
    <row r="184" spans="1:18" ht="15" customHeight="1" x14ac:dyDescent="0.2">
      <c r="A184" s="251" t="s">
        <v>81</v>
      </c>
      <c r="B184" s="253" t="s">
        <v>580</v>
      </c>
      <c r="C184" s="245"/>
      <c r="D184" s="248">
        <f>135382812.2+5459744.5</f>
        <v>140842556.69999999</v>
      </c>
      <c r="E184" s="248">
        <v>40643337.899999999</v>
      </c>
      <c r="F184" s="248">
        <f t="shared" si="18"/>
        <v>312738662.10000002</v>
      </c>
      <c r="G184" s="248">
        <v>353382000</v>
      </c>
      <c r="H184" s="248">
        <v>342210000</v>
      </c>
      <c r="I184" s="249"/>
    </row>
    <row r="185" spans="1:18" ht="15" customHeight="1" x14ac:dyDescent="0.2">
      <c r="A185" s="251" t="s">
        <v>260</v>
      </c>
      <c r="B185" s="253" t="s">
        <v>581</v>
      </c>
      <c r="C185" s="245"/>
      <c r="D185" s="248">
        <f>112180705.79+2774422.88</f>
        <v>114955128.67</v>
      </c>
      <c r="E185" s="248">
        <v>50525032.43</v>
      </c>
      <c r="F185" s="248">
        <f t="shared" si="18"/>
        <v>214415002.76999998</v>
      </c>
      <c r="G185" s="248">
        <v>264940035.19999999</v>
      </c>
      <c r="H185" s="248">
        <v>210773764.40000001</v>
      </c>
      <c r="I185" s="249"/>
    </row>
    <row r="186" spans="1:18" ht="15" customHeight="1" x14ac:dyDescent="0.2">
      <c r="A186" s="292" t="s">
        <v>191</v>
      </c>
      <c r="B186" s="260"/>
      <c r="C186" s="270"/>
      <c r="D186" s="267" t="e">
        <f>SUM(D131:D185)</f>
        <v>#REF!</v>
      </c>
      <c r="E186" s="267">
        <f>SUM(E131:E185)</f>
        <v>291684078.18000007</v>
      </c>
      <c r="F186" s="267">
        <f t="shared" ref="F186:H186" si="19">SUM(F131:F185)</f>
        <v>1764968975.6600003</v>
      </c>
      <c r="G186" s="267">
        <f t="shared" si="19"/>
        <v>2056653053.8400002</v>
      </c>
      <c r="H186" s="267">
        <f t="shared" si="19"/>
        <v>1859886305.9100003</v>
      </c>
      <c r="I186" s="293"/>
    </row>
    <row r="187" spans="1:18" ht="15" customHeight="1" x14ac:dyDescent="0.2">
      <c r="A187" s="282" t="s">
        <v>582</v>
      </c>
      <c r="B187" s="263"/>
      <c r="C187" s="272"/>
      <c r="D187" s="274"/>
      <c r="E187" s="274"/>
      <c r="F187" s="274"/>
      <c r="G187" s="274"/>
      <c r="H187" s="274"/>
      <c r="I187" s="249"/>
    </row>
    <row r="188" spans="1:18" ht="14.85" customHeight="1" x14ac:dyDescent="0.2">
      <c r="A188" s="251" t="s">
        <v>109</v>
      </c>
      <c r="B188" s="253" t="s">
        <v>583</v>
      </c>
      <c r="C188" s="245"/>
      <c r="D188" s="248">
        <v>55925</v>
      </c>
      <c r="E188" s="248">
        <v>10310</v>
      </c>
      <c r="F188" s="248">
        <f t="shared" ref="F188" si="20">G188-E188</f>
        <v>209690</v>
      </c>
      <c r="G188" s="248">
        <v>220000</v>
      </c>
      <c r="H188" s="248">
        <v>220000</v>
      </c>
      <c r="I188" s="249"/>
    </row>
    <row r="189" spans="1:18" ht="14.85" customHeight="1" x14ac:dyDescent="0.2">
      <c r="A189" s="251" t="s">
        <v>584</v>
      </c>
      <c r="B189" s="253" t="s">
        <v>585</v>
      </c>
      <c r="C189" s="245"/>
      <c r="D189" s="248">
        <v>1244310.1599999999</v>
      </c>
      <c r="E189" s="248"/>
      <c r="F189" s="248">
        <v>3300000</v>
      </c>
      <c r="G189" s="248">
        <v>3300000</v>
      </c>
      <c r="H189" s="248">
        <v>3300000</v>
      </c>
      <c r="I189" s="249"/>
    </row>
    <row r="190" spans="1:18" ht="15" customHeight="1" x14ac:dyDescent="0.2">
      <c r="A190" s="250" t="s">
        <v>185</v>
      </c>
      <c r="B190" s="253"/>
      <c r="C190" s="245"/>
      <c r="D190" s="267">
        <f>SUM(D188:D189)</f>
        <v>1300235.1599999999</v>
      </c>
      <c r="E190" s="267">
        <f t="shared" ref="E190:G190" si="21">SUM(E188:E189)</f>
        <v>10310</v>
      </c>
      <c r="F190" s="267">
        <f t="shared" si="21"/>
        <v>3509690</v>
      </c>
      <c r="G190" s="267">
        <f t="shared" si="21"/>
        <v>3520000</v>
      </c>
      <c r="H190" s="267">
        <f>SUM(H188:H189)</f>
        <v>3520000</v>
      </c>
      <c r="I190" s="249"/>
    </row>
    <row r="191" spans="1:18" ht="15" customHeight="1" x14ac:dyDescent="0.2">
      <c r="A191" s="250" t="s">
        <v>586</v>
      </c>
      <c r="B191" s="253"/>
      <c r="C191" s="245"/>
      <c r="D191" s="272"/>
      <c r="E191" s="272"/>
      <c r="F191" s="272"/>
      <c r="G191" s="272"/>
      <c r="H191" s="272"/>
      <c r="I191" s="249"/>
    </row>
    <row r="192" spans="1:18" ht="14.85" customHeight="1" x14ac:dyDescent="0.2">
      <c r="A192" s="251" t="s">
        <v>92</v>
      </c>
      <c r="B192" s="253" t="s">
        <v>587</v>
      </c>
      <c r="C192" s="245"/>
      <c r="D192" s="248"/>
      <c r="E192" s="248"/>
      <c r="F192" s="248">
        <f t="shared" ref="F192:F215" si="22">G192-E192</f>
        <v>0</v>
      </c>
      <c r="G192" s="248"/>
      <c r="H192" s="248"/>
      <c r="I192" s="249"/>
    </row>
    <row r="193" spans="1:9" x14ac:dyDescent="0.2">
      <c r="A193" s="251" t="s">
        <v>264</v>
      </c>
      <c r="B193" s="253" t="s">
        <v>588</v>
      </c>
      <c r="C193" s="245"/>
      <c r="D193" s="248">
        <v>31687234.300000001</v>
      </c>
      <c r="E193" s="248"/>
      <c r="F193" s="248">
        <f t="shared" si="22"/>
        <v>12511000</v>
      </c>
      <c r="G193" s="248">
        <v>12511000</v>
      </c>
      <c r="H193" s="248">
        <v>7900000</v>
      </c>
      <c r="I193" s="249"/>
    </row>
    <row r="194" spans="1:9" x14ac:dyDescent="0.2">
      <c r="A194" s="251" t="s">
        <v>178</v>
      </c>
      <c r="B194" s="253" t="s">
        <v>589</v>
      </c>
      <c r="C194" s="245"/>
      <c r="D194" s="248" t="e">
        <f>SUM('[3]Expenditures 2019'!$AU$118)</f>
        <v>#REF!</v>
      </c>
      <c r="E194" s="248"/>
      <c r="F194" s="248">
        <f>G194-E194</f>
        <v>0</v>
      </c>
      <c r="G194" s="248"/>
      <c r="H194" s="248">
        <v>255039033</v>
      </c>
      <c r="I194" s="249"/>
    </row>
    <row r="195" spans="1:9" x14ac:dyDescent="0.2">
      <c r="A195" s="251" t="s">
        <v>590</v>
      </c>
      <c r="B195" s="253" t="s">
        <v>591</v>
      </c>
      <c r="C195" s="245"/>
      <c r="D195" s="248">
        <v>22560185.300000001</v>
      </c>
      <c r="E195" s="248"/>
      <c r="F195" s="248">
        <f>G195-E195</f>
        <v>0</v>
      </c>
      <c r="G195" s="248"/>
      <c r="H195" s="248">
        <v>30000000</v>
      </c>
      <c r="I195" s="249"/>
    </row>
    <row r="196" spans="1:9" x14ac:dyDescent="0.2">
      <c r="A196" s="251" t="s">
        <v>237</v>
      </c>
      <c r="B196" s="253" t="s">
        <v>592</v>
      </c>
      <c r="C196" s="245"/>
      <c r="D196" s="248">
        <v>3984085.02</v>
      </c>
      <c r="E196" s="248"/>
      <c r="F196" s="248">
        <f>G196-E196</f>
        <v>14200000</v>
      </c>
      <c r="G196" s="248">
        <v>14200000</v>
      </c>
      <c r="H196" s="248"/>
      <c r="I196" s="249"/>
    </row>
    <row r="197" spans="1:9" x14ac:dyDescent="0.2">
      <c r="A197" s="251" t="s">
        <v>238</v>
      </c>
      <c r="B197" s="253" t="s">
        <v>593</v>
      </c>
      <c r="C197" s="245"/>
      <c r="D197" s="248">
        <v>5560168.4100000001</v>
      </c>
      <c r="E197" s="248"/>
      <c r="F197" s="248">
        <f>G197-E197</f>
        <v>9255000</v>
      </c>
      <c r="G197" s="248">
        <v>9255000</v>
      </c>
      <c r="H197" s="248">
        <v>400000</v>
      </c>
      <c r="I197" s="249"/>
    </row>
    <row r="198" spans="1:9" x14ac:dyDescent="0.2">
      <c r="A198" s="251" t="s">
        <v>94</v>
      </c>
      <c r="B198" s="253" t="s">
        <v>594</v>
      </c>
      <c r="C198" s="245"/>
      <c r="D198" s="248"/>
      <c r="E198" s="248"/>
      <c r="F198" s="248">
        <f t="shared" si="22"/>
        <v>334025000</v>
      </c>
      <c r="G198" s="248">
        <v>334025000</v>
      </c>
      <c r="H198" s="248">
        <v>174905500</v>
      </c>
      <c r="I198" s="290"/>
    </row>
    <row r="199" spans="1:9" x14ac:dyDescent="0.2">
      <c r="A199" s="251" t="s">
        <v>236</v>
      </c>
      <c r="B199" s="253" t="s">
        <v>595</v>
      </c>
      <c r="C199" s="245"/>
      <c r="D199" s="248">
        <v>8149832.8799999999</v>
      </c>
      <c r="E199" s="248"/>
      <c r="F199" s="248">
        <f t="shared" si="22"/>
        <v>15834000</v>
      </c>
      <c r="G199" s="248">
        <v>15834000</v>
      </c>
      <c r="H199" s="248">
        <v>28854000</v>
      </c>
      <c r="I199" s="249"/>
    </row>
    <row r="200" spans="1:9" x14ac:dyDescent="0.2">
      <c r="A200" s="251" t="s">
        <v>596</v>
      </c>
      <c r="B200" s="253" t="s">
        <v>597</v>
      </c>
      <c r="C200" s="245"/>
      <c r="D200" s="248">
        <v>1988807.07</v>
      </c>
      <c r="E200" s="248"/>
      <c r="F200" s="248">
        <f t="shared" si="22"/>
        <v>0</v>
      </c>
      <c r="G200" s="248"/>
      <c r="H200" s="248"/>
      <c r="I200" s="249"/>
    </row>
    <row r="201" spans="1:9" x14ac:dyDescent="0.2">
      <c r="A201" s="251" t="s">
        <v>95</v>
      </c>
      <c r="B201" s="253" t="s">
        <v>598</v>
      </c>
      <c r="C201" s="245"/>
      <c r="D201" s="248">
        <v>289777303.25999999</v>
      </c>
      <c r="E201" s="248"/>
      <c r="F201" s="248">
        <f t="shared" si="22"/>
        <v>269091068.87</v>
      </c>
      <c r="G201" s="248">
        <v>269091068.87</v>
      </c>
      <c r="H201" s="248">
        <v>593270000</v>
      </c>
      <c r="I201" s="249"/>
    </row>
    <row r="202" spans="1:9" x14ac:dyDescent="0.2">
      <c r="A202" s="251" t="s">
        <v>96</v>
      </c>
      <c r="B202" s="253" t="s">
        <v>599</v>
      </c>
      <c r="C202" s="245"/>
      <c r="D202" s="248">
        <v>174998</v>
      </c>
      <c r="E202" s="248"/>
      <c r="F202" s="248">
        <f t="shared" si="22"/>
        <v>10870000</v>
      </c>
      <c r="G202" s="248">
        <v>10870000</v>
      </c>
      <c r="H202" s="248">
        <v>5425000</v>
      </c>
      <c r="I202" s="249"/>
    </row>
    <row r="203" spans="1:9" x14ac:dyDescent="0.2">
      <c r="A203" s="251" t="s">
        <v>600</v>
      </c>
      <c r="B203" s="253" t="s">
        <v>601</v>
      </c>
      <c r="C203" s="245"/>
      <c r="D203" s="248">
        <v>1173850</v>
      </c>
      <c r="E203" s="248"/>
      <c r="F203" s="248">
        <f t="shared" si="22"/>
        <v>5820000</v>
      </c>
      <c r="G203" s="248">
        <v>5820000</v>
      </c>
      <c r="H203" s="248">
        <v>6685000</v>
      </c>
      <c r="I203" s="249"/>
    </row>
    <row r="204" spans="1:9" x14ac:dyDescent="0.2">
      <c r="A204" s="251" t="s">
        <v>100</v>
      </c>
      <c r="B204" s="253" t="s">
        <v>602</v>
      </c>
      <c r="C204" s="245"/>
      <c r="D204" s="248"/>
      <c r="E204" s="248"/>
      <c r="F204" s="248">
        <f t="shared" si="22"/>
        <v>0</v>
      </c>
      <c r="G204" s="248"/>
      <c r="H204" s="248">
        <v>250000</v>
      </c>
      <c r="I204" s="249"/>
    </row>
    <row r="205" spans="1:9" x14ac:dyDescent="0.2">
      <c r="A205" s="251" t="s">
        <v>175</v>
      </c>
      <c r="B205" s="253" t="s">
        <v>603</v>
      </c>
      <c r="C205" s="245"/>
      <c r="D205" s="248" t="e">
        <f>SUM('[3]Expenditures 2019'!$AU$121)</f>
        <v>#REF!</v>
      </c>
      <c r="E205" s="248"/>
      <c r="F205" s="248">
        <f t="shared" si="22"/>
        <v>0</v>
      </c>
      <c r="G205" s="248"/>
      <c r="H205" s="248">
        <v>0</v>
      </c>
      <c r="I205" s="249"/>
    </row>
    <row r="206" spans="1:9" x14ac:dyDescent="0.2">
      <c r="A206" s="251" t="s">
        <v>176</v>
      </c>
      <c r="B206" s="253" t="s">
        <v>604</v>
      </c>
      <c r="C206" s="245"/>
      <c r="D206" s="248" t="e">
        <f>SUM('[3]Expenditures 2019'!$AU$129)</f>
        <v>#REF!</v>
      </c>
      <c r="E206" s="248"/>
      <c r="F206" s="248">
        <f t="shared" si="22"/>
        <v>0</v>
      </c>
      <c r="G206" s="248"/>
      <c r="H206" s="248">
        <v>0</v>
      </c>
      <c r="I206" s="249"/>
    </row>
    <row r="207" spans="1:9" x14ac:dyDescent="0.2">
      <c r="A207" s="251" t="s">
        <v>605</v>
      </c>
      <c r="B207" s="253" t="s">
        <v>606</v>
      </c>
      <c r="C207" s="245"/>
      <c r="D207" s="248"/>
      <c r="E207" s="248"/>
      <c r="F207" s="248">
        <f t="shared" si="22"/>
        <v>3000000</v>
      </c>
      <c r="G207" s="248">
        <v>3000000</v>
      </c>
      <c r="H207" s="248">
        <v>3000000</v>
      </c>
      <c r="I207" s="249"/>
    </row>
    <row r="208" spans="1:9" x14ac:dyDescent="0.2">
      <c r="A208" s="251" t="s">
        <v>177</v>
      </c>
      <c r="B208" s="253" t="s">
        <v>607</v>
      </c>
      <c r="C208" s="245"/>
      <c r="D208" s="248">
        <v>2878730</v>
      </c>
      <c r="E208" s="248"/>
      <c r="F208" s="248">
        <f t="shared" si="22"/>
        <v>1225000</v>
      </c>
      <c r="G208" s="248">
        <v>1225000</v>
      </c>
      <c r="H208" s="248">
        <v>15000000</v>
      </c>
      <c r="I208" s="249"/>
    </row>
    <row r="209" spans="1:9" x14ac:dyDescent="0.2">
      <c r="A209" s="289" t="s">
        <v>608</v>
      </c>
      <c r="B209" s="253" t="s">
        <v>609</v>
      </c>
      <c r="C209" s="245"/>
      <c r="D209" s="248"/>
      <c r="E209" s="248"/>
      <c r="F209" s="248"/>
      <c r="G209" s="248"/>
      <c r="H209" s="248">
        <v>1000000</v>
      </c>
      <c r="I209" s="249"/>
    </row>
    <row r="210" spans="1:9" x14ac:dyDescent="0.2">
      <c r="A210" s="251" t="s">
        <v>610</v>
      </c>
      <c r="B210" s="253" t="s">
        <v>611</v>
      </c>
      <c r="C210" s="245"/>
      <c r="D210" s="248">
        <v>54200</v>
      </c>
      <c r="E210" s="248"/>
      <c r="F210" s="248">
        <f t="shared" si="22"/>
        <v>1935000</v>
      </c>
      <c r="G210" s="248">
        <v>1935000</v>
      </c>
      <c r="H210" s="248">
        <v>600000</v>
      </c>
      <c r="I210" s="249"/>
    </row>
    <row r="211" spans="1:9" x14ac:dyDescent="0.2">
      <c r="A211" s="251" t="s">
        <v>106</v>
      </c>
      <c r="B211" s="253" t="s">
        <v>612</v>
      </c>
      <c r="C211" s="245"/>
      <c r="D211" s="248">
        <v>8820000</v>
      </c>
      <c r="E211" s="248"/>
      <c r="F211" s="248">
        <f t="shared" si="22"/>
        <v>16000000</v>
      </c>
      <c r="G211" s="248">
        <v>16000000</v>
      </c>
      <c r="H211" s="248">
        <v>16500000</v>
      </c>
      <c r="I211" s="249"/>
    </row>
    <row r="212" spans="1:9" x14ac:dyDescent="0.2">
      <c r="A212" s="251" t="s">
        <v>322</v>
      </c>
      <c r="B212" s="253" t="s">
        <v>613</v>
      </c>
      <c r="C212" s="245"/>
      <c r="D212" s="248">
        <v>2028410</v>
      </c>
      <c r="E212" s="248"/>
      <c r="F212" s="248">
        <f t="shared" si="22"/>
        <v>4539000</v>
      </c>
      <c r="G212" s="248">
        <v>4539000</v>
      </c>
      <c r="H212" s="248">
        <v>6467200</v>
      </c>
      <c r="I212" s="249"/>
    </row>
    <row r="213" spans="1:9" x14ac:dyDescent="0.2">
      <c r="A213" s="251" t="s">
        <v>614</v>
      </c>
      <c r="B213" s="253" t="s">
        <v>615</v>
      </c>
      <c r="C213" s="245"/>
      <c r="D213" s="248">
        <v>245060</v>
      </c>
      <c r="E213" s="248"/>
      <c r="F213" s="248">
        <f t="shared" si="22"/>
        <v>445000</v>
      </c>
      <c r="G213" s="248">
        <v>445000</v>
      </c>
      <c r="H213" s="248"/>
      <c r="I213" s="249"/>
    </row>
    <row r="214" spans="1:9" x14ac:dyDescent="0.2">
      <c r="A214" s="251" t="s">
        <v>107</v>
      </c>
      <c r="B214" s="253" t="s">
        <v>616</v>
      </c>
      <c r="C214" s="245"/>
      <c r="D214" s="248">
        <v>231617</v>
      </c>
      <c r="E214" s="248"/>
      <c r="F214" s="248">
        <f t="shared" si="22"/>
        <v>20230000</v>
      </c>
      <c r="G214" s="248">
        <v>20230000</v>
      </c>
      <c r="H214" s="248">
        <v>12239300</v>
      </c>
      <c r="I214" s="249"/>
    </row>
    <row r="215" spans="1:9" x14ac:dyDescent="0.2">
      <c r="A215" s="289" t="s">
        <v>271</v>
      </c>
      <c r="B215" s="294" t="s">
        <v>617</v>
      </c>
      <c r="C215" s="245"/>
      <c r="D215" s="248"/>
      <c r="E215" s="248"/>
      <c r="F215" s="248">
        <f t="shared" si="22"/>
        <v>0</v>
      </c>
      <c r="G215" s="248"/>
      <c r="H215" s="248"/>
      <c r="I215" s="249"/>
    </row>
    <row r="216" spans="1:9" x14ac:dyDescent="0.2">
      <c r="A216" s="266" t="s">
        <v>618</v>
      </c>
      <c r="B216" s="253"/>
      <c r="C216" s="245"/>
      <c r="D216" s="248"/>
      <c r="E216" s="248"/>
      <c r="F216" s="248"/>
      <c r="G216" s="248"/>
      <c r="H216" s="248"/>
      <c r="I216" s="249"/>
    </row>
    <row r="217" spans="1:9" x14ac:dyDescent="0.2">
      <c r="A217" s="251" t="s">
        <v>90</v>
      </c>
      <c r="B217" s="253" t="s">
        <v>619</v>
      </c>
      <c r="C217" s="245"/>
      <c r="D217" s="248">
        <v>233072.41</v>
      </c>
      <c r="E217" s="248">
        <v>81159.7</v>
      </c>
      <c r="F217" s="248">
        <f>G217-E217</f>
        <v>2543840.2999999998</v>
      </c>
      <c r="G217" s="248">
        <v>2625000</v>
      </c>
      <c r="H217" s="248">
        <v>3010000</v>
      </c>
      <c r="I217" s="249"/>
    </row>
    <row r="218" spans="1:9" x14ac:dyDescent="0.2">
      <c r="A218" s="292" t="s">
        <v>108</v>
      </c>
      <c r="B218" s="260"/>
      <c r="C218" s="270"/>
      <c r="D218" s="267" t="e">
        <f>SUM(D192:D217)</f>
        <v>#REF!</v>
      </c>
      <c r="E218" s="267">
        <f>SUM(E192:E217)</f>
        <v>81159.7</v>
      </c>
      <c r="F218" s="267">
        <f t="shared" ref="F218:H218" si="23">SUM(F192:F217)</f>
        <v>721523909.16999996</v>
      </c>
      <c r="G218" s="267">
        <f t="shared" si="23"/>
        <v>721605068.87</v>
      </c>
      <c r="H218" s="267">
        <f t="shared" si="23"/>
        <v>1160545033</v>
      </c>
      <c r="I218" s="249"/>
    </row>
    <row r="219" spans="1:9" x14ac:dyDescent="0.2">
      <c r="A219" s="282" t="s">
        <v>620</v>
      </c>
      <c r="B219" s="263"/>
      <c r="C219" s="272"/>
      <c r="D219" s="274"/>
      <c r="E219" s="274"/>
      <c r="F219" s="274"/>
      <c r="G219" s="274"/>
      <c r="H219" s="274"/>
      <c r="I219" s="249"/>
    </row>
    <row r="220" spans="1:9" x14ac:dyDescent="0.2">
      <c r="A220" s="251" t="s">
        <v>621</v>
      </c>
      <c r="B220" s="253"/>
      <c r="C220" s="245"/>
      <c r="D220" s="248"/>
      <c r="E220" s="248"/>
      <c r="F220" s="248"/>
      <c r="G220" s="248"/>
      <c r="H220" s="248"/>
      <c r="I220" s="249"/>
    </row>
    <row r="221" spans="1:9" x14ac:dyDescent="0.2">
      <c r="A221" s="252" t="s">
        <v>622</v>
      </c>
      <c r="B221" s="253"/>
      <c r="C221" s="245"/>
      <c r="D221" s="254">
        <v>356306501.58999997</v>
      </c>
      <c r="E221" s="254">
        <f>SUM(E223:E228)</f>
        <v>0</v>
      </c>
      <c r="F221" s="254">
        <f>SUM(F223:F228)</f>
        <v>701007442.79999995</v>
      </c>
      <c r="G221" s="254">
        <f>SUM(G223:G228)</f>
        <v>701007442.79999995</v>
      </c>
      <c r="H221" s="254">
        <f>SUM(H223:H228)</f>
        <v>714770000</v>
      </c>
      <c r="I221" s="249"/>
    </row>
    <row r="222" spans="1:9" x14ac:dyDescent="0.2">
      <c r="A222" s="252" t="s">
        <v>623</v>
      </c>
      <c r="B222" s="253"/>
      <c r="C222" s="245"/>
      <c r="D222" s="248"/>
      <c r="E222" s="248"/>
      <c r="F222" s="248"/>
      <c r="G222" s="248"/>
      <c r="H222" s="248"/>
      <c r="I222" s="249"/>
    </row>
    <row r="223" spans="1:9" x14ac:dyDescent="0.2">
      <c r="A223" s="295" t="s">
        <v>624</v>
      </c>
      <c r="B223" s="253">
        <v>4918</v>
      </c>
      <c r="C223" s="245"/>
      <c r="D223" s="248"/>
      <c r="E223" s="248">
        <v>0</v>
      </c>
      <c r="F223" s="248">
        <f>G223-E223</f>
        <v>237937033</v>
      </c>
      <c r="G223" s="248">
        <v>237937033</v>
      </c>
      <c r="H223" s="248">
        <v>1131000</v>
      </c>
      <c r="I223" s="249"/>
    </row>
    <row r="224" spans="1:9" x14ac:dyDescent="0.2">
      <c r="A224" s="252" t="s">
        <v>623</v>
      </c>
      <c r="B224" s="253"/>
      <c r="C224" s="245"/>
      <c r="D224" s="248"/>
      <c r="E224" s="248"/>
      <c r="F224" s="248"/>
      <c r="G224" s="248"/>
      <c r="H224" s="248"/>
      <c r="I224" s="249"/>
    </row>
    <row r="225" spans="1:9" x14ac:dyDescent="0.2">
      <c r="A225" s="295" t="s">
        <v>625</v>
      </c>
      <c r="B225" s="253"/>
      <c r="C225" s="245"/>
      <c r="D225" s="248"/>
      <c r="E225" s="248"/>
      <c r="F225" s="248"/>
      <c r="G225" s="248"/>
      <c r="H225" s="248"/>
      <c r="I225" s="249"/>
    </row>
    <row r="226" spans="1:9" x14ac:dyDescent="0.2">
      <c r="A226" s="295" t="s">
        <v>626</v>
      </c>
      <c r="B226" s="253">
        <v>6918</v>
      </c>
      <c r="C226" s="245"/>
      <c r="D226" s="248">
        <f>4844864.17+7989181.74+38291089.99</f>
        <v>51125135.900000006</v>
      </c>
      <c r="E226" s="248">
        <v>0</v>
      </c>
      <c r="F226" s="248">
        <f>G226-E226</f>
        <v>44125000</v>
      </c>
      <c r="G226" s="248">
        <v>44125000</v>
      </c>
      <c r="H226" s="248">
        <v>607389000</v>
      </c>
      <c r="I226" s="249"/>
    </row>
    <row r="227" spans="1:9" x14ac:dyDescent="0.2">
      <c r="A227" s="252" t="s">
        <v>623</v>
      </c>
      <c r="B227" s="253"/>
      <c r="C227" s="245"/>
      <c r="D227" s="248"/>
      <c r="E227" s="248"/>
      <c r="F227" s="248"/>
      <c r="G227" s="248"/>
      <c r="H227" s="248"/>
      <c r="I227" s="249"/>
    </row>
    <row r="228" spans="1:9" x14ac:dyDescent="0.2">
      <c r="A228" s="295" t="s">
        <v>627</v>
      </c>
      <c r="B228" s="253">
        <v>8918</v>
      </c>
      <c r="C228" s="245"/>
      <c r="D228" s="248">
        <f>253395907.67+51785458.02</f>
        <v>305181365.69</v>
      </c>
      <c r="E228" s="248">
        <v>0</v>
      </c>
      <c r="F228" s="248">
        <f>G228-E228</f>
        <v>418945409.80000001</v>
      </c>
      <c r="G228" s="248">
        <v>418945409.80000001</v>
      </c>
      <c r="H228" s="248">
        <v>106250000</v>
      </c>
      <c r="I228" s="249"/>
    </row>
    <row r="229" spans="1:9" x14ac:dyDescent="0.2">
      <c r="A229" s="251" t="s">
        <v>628</v>
      </c>
      <c r="B229" s="253"/>
      <c r="C229" s="245"/>
      <c r="D229" s="248"/>
      <c r="E229" s="248"/>
      <c r="F229" s="248"/>
      <c r="G229" s="248"/>
      <c r="H229" s="248"/>
      <c r="I229" s="249"/>
    </row>
    <row r="230" spans="1:9" x14ac:dyDescent="0.2">
      <c r="A230" s="252" t="s">
        <v>629</v>
      </c>
      <c r="B230" s="253"/>
      <c r="C230" s="245"/>
      <c r="D230" s="248"/>
      <c r="E230" s="248"/>
      <c r="F230" s="248"/>
      <c r="G230" s="248"/>
      <c r="H230" s="248"/>
      <c r="I230" s="249"/>
    </row>
    <row r="231" spans="1:9" x14ac:dyDescent="0.2">
      <c r="A231" s="252" t="s">
        <v>630</v>
      </c>
      <c r="B231" s="253">
        <v>9940</v>
      </c>
      <c r="C231" s="245"/>
      <c r="D231" s="254">
        <v>162594499.78</v>
      </c>
      <c r="E231" s="254">
        <f>SUM(E232:E233)</f>
        <v>66642517.950000003</v>
      </c>
      <c r="F231" s="254">
        <f>SUM(F232:F233)</f>
        <v>174044047.75999999</v>
      </c>
      <c r="G231" s="254">
        <f>SUM(G232:G233)</f>
        <v>240686565.70999998</v>
      </c>
      <c r="H231" s="254">
        <f>SUM(H232:H233)</f>
        <v>252567147.81</v>
      </c>
      <c r="I231" s="249"/>
    </row>
    <row r="232" spans="1:9" x14ac:dyDescent="0.2">
      <c r="A232" s="295" t="s">
        <v>188</v>
      </c>
      <c r="B232" s="253"/>
      <c r="C232" s="245"/>
      <c r="D232" s="248"/>
      <c r="E232" s="248">
        <v>66642517.950000003</v>
      </c>
      <c r="F232" s="248">
        <f>G232-E232</f>
        <v>31124047.75999999</v>
      </c>
      <c r="G232" s="248">
        <v>97766565.709999993</v>
      </c>
      <c r="H232" s="248">
        <v>162467147.81</v>
      </c>
      <c r="I232" s="249"/>
    </row>
    <row r="233" spans="1:9" x14ac:dyDescent="0.2">
      <c r="A233" s="295" t="s">
        <v>305</v>
      </c>
      <c r="B233" s="253"/>
      <c r="C233" s="245"/>
      <c r="D233" s="296"/>
      <c r="E233" s="248"/>
      <c r="F233" s="248">
        <f>G233-E233</f>
        <v>142920000</v>
      </c>
      <c r="G233" s="248">
        <v>142920000</v>
      </c>
      <c r="H233" s="248">
        <v>90100000</v>
      </c>
      <c r="I233" s="249"/>
    </row>
    <row r="234" spans="1:9" x14ac:dyDescent="0.2">
      <c r="A234" s="251" t="s">
        <v>631</v>
      </c>
      <c r="B234" s="253">
        <v>9999</v>
      </c>
      <c r="C234" s="245"/>
      <c r="D234" s="296">
        <v>189000</v>
      </c>
      <c r="E234" s="248"/>
      <c r="F234" s="248">
        <f>G234-E234</f>
        <v>189000</v>
      </c>
      <c r="G234" s="248">
        <v>189000</v>
      </c>
      <c r="H234" s="248">
        <v>189000</v>
      </c>
      <c r="I234" s="249"/>
    </row>
    <row r="235" spans="1:9" x14ac:dyDescent="0.2">
      <c r="A235" s="251" t="s">
        <v>632</v>
      </c>
      <c r="B235" s="253"/>
      <c r="C235" s="245"/>
      <c r="D235" s="296"/>
      <c r="E235" s="248"/>
      <c r="F235" s="248"/>
      <c r="G235" s="248"/>
      <c r="H235" s="248"/>
      <c r="I235" s="249"/>
    </row>
    <row r="236" spans="1:9" x14ac:dyDescent="0.2">
      <c r="A236" s="252" t="s">
        <v>473</v>
      </c>
      <c r="B236" s="253" t="s">
        <v>633</v>
      </c>
      <c r="C236" s="245"/>
      <c r="D236" s="254">
        <f>SUM(D237:D238)</f>
        <v>0</v>
      </c>
      <c r="E236" s="254">
        <f>SUM(E237:E238)</f>
        <v>37802380</v>
      </c>
      <c r="F236" s="254">
        <f>SUM(F237:F238)</f>
        <v>101136671</v>
      </c>
      <c r="G236" s="254">
        <f>SUM(G237:G238)</f>
        <v>138939051</v>
      </c>
      <c r="H236" s="254">
        <f>SUM(H237:H238)</f>
        <v>0</v>
      </c>
      <c r="I236" s="249"/>
    </row>
    <row r="237" spans="1:9" x14ac:dyDescent="0.2">
      <c r="A237" s="295" t="s">
        <v>188</v>
      </c>
      <c r="B237" s="253"/>
      <c r="C237" s="245"/>
      <c r="D237" s="248">
        <v>0</v>
      </c>
      <c r="E237" s="248">
        <v>23762880</v>
      </c>
      <c r="F237" s="248">
        <f>G237-E237</f>
        <v>1276071</v>
      </c>
      <c r="G237" s="248">
        <v>25038951</v>
      </c>
      <c r="H237" s="248">
        <v>0</v>
      </c>
      <c r="I237" s="249"/>
    </row>
    <row r="238" spans="1:9" x14ac:dyDescent="0.2">
      <c r="A238" s="295" t="s">
        <v>305</v>
      </c>
      <c r="B238" s="253"/>
      <c r="C238" s="245"/>
      <c r="D238" s="248">
        <v>0</v>
      </c>
      <c r="E238" s="248">
        <v>14039500</v>
      </c>
      <c r="F238" s="248">
        <f>G238-E238</f>
        <v>99860600</v>
      </c>
      <c r="G238" s="248">
        <v>113900100</v>
      </c>
      <c r="H238" s="248">
        <v>0</v>
      </c>
      <c r="I238" s="249"/>
    </row>
    <row r="239" spans="1:9" x14ac:dyDescent="0.2">
      <c r="A239" s="250" t="s">
        <v>634</v>
      </c>
      <c r="B239" s="253"/>
      <c r="C239" s="245"/>
      <c r="D239" s="267">
        <f>D221+D231+D234+D236</f>
        <v>519090001.37</v>
      </c>
      <c r="E239" s="267">
        <f>E221+E231+E234+E236</f>
        <v>104444897.95</v>
      </c>
      <c r="F239" s="267">
        <f>F221+F231+F234+F236</f>
        <v>976377161.55999994</v>
      </c>
      <c r="G239" s="267">
        <f>G221+G231+G234+G236</f>
        <v>1080822059.51</v>
      </c>
      <c r="H239" s="267">
        <f>H221+H231+H234+H236</f>
        <v>967526147.80999994</v>
      </c>
      <c r="I239" s="249"/>
    </row>
    <row r="240" spans="1:9" ht="15" thickBot="1" x14ac:dyDescent="0.25">
      <c r="A240" s="244" t="s">
        <v>635</v>
      </c>
      <c r="B240" s="253"/>
      <c r="C240" s="245"/>
      <c r="D240" s="297" t="e">
        <f>D129+D186+D190+D218+D239</f>
        <v>#REF!</v>
      </c>
      <c r="E240" s="297">
        <f>E129+E186+E190+E218+E239</f>
        <v>750526361.95000029</v>
      </c>
      <c r="F240" s="297">
        <f>F129+F186+F190+F218+F239</f>
        <v>4289947334.7600002</v>
      </c>
      <c r="G240" s="297">
        <f>G129+G186+G190+G218+G239</f>
        <v>5040473696.71</v>
      </c>
      <c r="H240" s="297">
        <f>H129+H186+H190+H218+H239</f>
        <v>5053042956.1599998</v>
      </c>
      <c r="I240" s="249"/>
    </row>
    <row r="241" spans="1:9" ht="15" thickTop="1" x14ac:dyDescent="0.2">
      <c r="A241" s="298"/>
      <c r="B241" s="260"/>
      <c r="C241" s="270"/>
      <c r="D241" s="299"/>
      <c r="E241" s="299"/>
      <c r="F241" s="299"/>
      <c r="G241" s="299"/>
      <c r="H241" s="299"/>
      <c r="I241" s="249"/>
    </row>
    <row r="242" spans="1:9" x14ac:dyDescent="0.2">
      <c r="A242" s="249"/>
      <c r="B242" s="249"/>
      <c r="C242" s="249"/>
      <c r="D242" s="249"/>
      <c r="E242" s="249"/>
      <c r="F242" s="249"/>
      <c r="G242" s="249"/>
      <c r="H242" s="249"/>
      <c r="I242" s="249"/>
    </row>
    <row r="243" spans="1:9" x14ac:dyDescent="0.2">
      <c r="A243" s="300" t="s">
        <v>636</v>
      </c>
      <c r="B243" s="249"/>
      <c r="C243" s="249"/>
      <c r="D243" s="249"/>
      <c r="E243" s="249"/>
      <c r="F243" s="249"/>
      <c r="G243" s="249"/>
      <c r="H243" s="249"/>
      <c r="I243" s="249"/>
    </row>
    <row r="244" spans="1:9" x14ac:dyDescent="0.2">
      <c r="A244" s="301"/>
      <c r="B244" s="249"/>
      <c r="C244" s="249"/>
      <c r="D244" s="249"/>
      <c r="E244" s="249"/>
      <c r="F244" s="249"/>
      <c r="G244" s="249"/>
      <c r="H244" s="249"/>
      <c r="I244" s="249"/>
    </row>
    <row r="245" spans="1:9" x14ac:dyDescent="0.2">
      <c r="A245" s="301"/>
      <c r="B245" s="249"/>
      <c r="C245" s="249"/>
      <c r="D245" s="249"/>
      <c r="E245" s="249"/>
      <c r="F245" s="249"/>
      <c r="G245" s="249"/>
      <c r="H245" s="249"/>
      <c r="I245" s="249"/>
    </row>
    <row r="246" spans="1:9" x14ac:dyDescent="0.2">
      <c r="A246" s="301"/>
      <c r="B246" s="249"/>
      <c r="C246" s="249"/>
      <c r="D246" s="249"/>
      <c r="E246" s="249"/>
      <c r="F246" s="249"/>
      <c r="G246" s="249"/>
      <c r="H246" s="249"/>
      <c r="I246" s="249"/>
    </row>
    <row r="247" spans="1:9" x14ac:dyDescent="0.2">
      <c r="A247" s="334" t="s">
        <v>206</v>
      </c>
      <c r="B247" s="334"/>
      <c r="C247" s="302"/>
      <c r="D247" s="302"/>
      <c r="E247" s="302"/>
      <c r="F247" s="335" t="s">
        <v>291</v>
      </c>
      <c r="G247" s="335"/>
      <c r="H247" s="335"/>
    </row>
    <row r="248" spans="1:9" x14ac:dyDescent="0.2">
      <c r="A248" s="336" t="s">
        <v>278</v>
      </c>
      <c r="B248" s="336"/>
      <c r="C248" s="303"/>
      <c r="D248" s="303"/>
      <c r="E248" s="303"/>
      <c r="F248" s="332" t="s">
        <v>269</v>
      </c>
      <c r="G248" s="332"/>
      <c r="H248" s="332"/>
    </row>
    <row r="249" spans="1:9" x14ac:dyDescent="0.2">
      <c r="A249" s="303"/>
      <c r="B249" s="304"/>
      <c r="C249" s="304"/>
      <c r="D249" s="304"/>
      <c r="E249" s="304"/>
      <c r="F249" s="305"/>
      <c r="G249" s="304"/>
      <c r="H249" s="303"/>
    </row>
    <row r="250" spans="1:9" x14ac:dyDescent="0.2">
      <c r="A250" s="303"/>
      <c r="B250" s="304"/>
      <c r="C250" s="304"/>
      <c r="D250" s="304"/>
      <c r="E250" s="304"/>
      <c r="F250" s="305"/>
      <c r="G250" s="304"/>
      <c r="H250" s="303"/>
    </row>
    <row r="251" spans="1:9" x14ac:dyDescent="0.2">
      <c r="A251" s="303"/>
      <c r="B251" s="304"/>
      <c r="C251" s="304"/>
      <c r="D251" s="304"/>
      <c r="E251" s="304"/>
      <c r="F251" s="305"/>
      <c r="G251" s="304"/>
      <c r="H251" s="303"/>
    </row>
    <row r="252" spans="1:9" x14ac:dyDescent="0.2">
      <c r="A252" s="335" t="s">
        <v>637</v>
      </c>
      <c r="B252" s="335"/>
      <c r="C252" s="306"/>
      <c r="D252" s="302"/>
      <c r="E252" s="302"/>
      <c r="F252" s="335" t="s">
        <v>638</v>
      </c>
      <c r="G252" s="335"/>
      <c r="H252" s="335"/>
    </row>
    <row r="253" spans="1:9" x14ac:dyDescent="0.2">
      <c r="A253" s="332" t="s">
        <v>639</v>
      </c>
      <c r="B253" s="332"/>
      <c r="C253" s="305"/>
      <c r="D253" s="303"/>
      <c r="E253" s="303"/>
      <c r="F253" s="332" t="s">
        <v>640</v>
      </c>
      <c r="G253" s="332"/>
      <c r="H253" s="332"/>
    </row>
    <row r="254" spans="1:9" x14ac:dyDescent="0.2">
      <c r="A254" s="332"/>
      <c r="B254" s="332"/>
      <c r="C254" s="305"/>
      <c r="D254" s="303"/>
      <c r="E254" s="303"/>
      <c r="F254" s="332"/>
      <c r="G254" s="332"/>
      <c r="H254" s="332"/>
    </row>
    <row r="255" spans="1:9" x14ac:dyDescent="0.2">
      <c r="A255" s="303"/>
      <c r="B255" s="304"/>
      <c r="C255" s="304"/>
      <c r="D255" s="304"/>
      <c r="E255" s="304"/>
      <c r="F255" s="305"/>
      <c r="G255" s="304"/>
      <c r="H255" s="303"/>
    </row>
    <row r="256" spans="1:9" x14ac:dyDescent="0.2">
      <c r="A256" s="332" t="s">
        <v>135</v>
      </c>
      <c r="B256" s="332"/>
      <c r="C256" s="332"/>
      <c r="D256" s="332"/>
      <c r="E256" s="332"/>
      <c r="F256" s="332"/>
      <c r="G256" s="332"/>
      <c r="H256" s="332"/>
    </row>
    <row r="257" spans="1:8" x14ac:dyDescent="0.2">
      <c r="A257" s="304"/>
      <c r="B257" s="304"/>
      <c r="C257" s="304"/>
      <c r="D257" s="303"/>
      <c r="E257" s="304"/>
      <c r="F257" s="305"/>
      <c r="G257" s="303"/>
      <c r="H257" s="303"/>
    </row>
    <row r="258" spans="1:8" x14ac:dyDescent="0.2">
      <c r="A258" s="307"/>
      <c r="B258" s="307"/>
      <c r="C258" s="307"/>
      <c r="D258" s="307"/>
      <c r="E258" s="307"/>
      <c r="F258" s="307"/>
      <c r="G258" s="307"/>
      <c r="H258" s="307"/>
    </row>
    <row r="259" spans="1:8" x14ac:dyDescent="0.2">
      <c r="A259" s="308"/>
      <c r="B259" s="308"/>
      <c r="C259" s="308"/>
      <c r="D259" s="308"/>
      <c r="E259" s="308"/>
      <c r="F259" s="308"/>
      <c r="G259" s="308"/>
      <c r="H259" s="308"/>
    </row>
    <row r="260" spans="1:8" x14ac:dyDescent="0.2">
      <c r="A260" s="333" t="s">
        <v>137</v>
      </c>
      <c r="B260" s="333"/>
      <c r="C260" s="333"/>
      <c r="D260" s="333"/>
      <c r="E260" s="333"/>
      <c r="F260" s="333"/>
      <c r="G260" s="333"/>
      <c r="H260" s="333"/>
    </row>
    <row r="261" spans="1:8" x14ac:dyDescent="0.2">
      <c r="A261" s="331" t="s">
        <v>641</v>
      </c>
      <c r="B261" s="331"/>
      <c r="C261" s="331"/>
      <c r="D261" s="331"/>
      <c r="E261" s="331"/>
      <c r="F261" s="331"/>
      <c r="G261" s="331"/>
      <c r="H261" s="331"/>
    </row>
    <row r="262" spans="1:8" x14ac:dyDescent="0.2">
      <c r="A262" s="232"/>
      <c r="B262" s="232"/>
      <c r="C262" s="232"/>
      <c r="D262" s="232"/>
      <c r="E262" s="232"/>
      <c r="F262" s="232"/>
      <c r="G262" s="232"/>
      <c r="H262" s="232"/>
    </row>
    <row r="263" spans="1:8" x14ac:dyDescent="0.2">
      <c r="A263" s="232"/>
      <c r="B263" s="232"/>
      <c r="C263" s="232"/>
      <c r="D263" s="232"/>
      <c r="E263" s="232"/>
      <c r="F263" s="232"/>
      <c r="G263" s="232"/>
      <c r="H263" s="232"/>
    </row>
  </sheetData>
  <sheetProtection sheet="1" objects="1" scenarios="1"/>
  <mergeCells count="22">
    <mergeCell ref="A4:H4"/>
    <mergeCell ref="A5:H5"/>
    <mergeCell ref="A7:A9"/>
    <mergeCell ref="B7:B9"/>
    <mergeCell ref="C7:C9"/>
    <mergeCell ref="D7:D9"/>
    <mergeCell ref="E7:G7"/>
    <mergeCell ref="H7:H9"/>
    <mergeCell ref="G8:G9"/>
    <mergeCell ref="A247:B247"/>
    <mergeCell ref="F247:H247"/>
    <mergeCell ref="A248:B248"/>
    <mergeCell ref="F248:H248"/>
    <mergeCell ref="A252:B252"/>
    <mergeCell ref="F252:H252"/>
    <mergeCell ref="A261:H261"/>
    <mergeCell ref="A253:B253"/>
    <mergeCell ref="F253:H253"/>
    <mergeCell ref="A254:B254"/>
    <mergeCell ref="F254:H254"/>
    <mergeCell ref="A256:H256"/>
    <mergeCell ref="A260:H2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SheetLayoutView="100" workbookViewId="0">
      <pane xSplit="1" ySplit="14" topLeftCell="B18" activePane="bottomRight" state="frozen"/>
      <selection pane="topRight" activeCell="B1" sqref="B1"/>
      <selection pane="bottomLeft" activeCell="A15" sqref="A15"/>
      <selection pane="bottomRight" activeCell="R34" sqref="R3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53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52"/>
      <c r="B12" s="152"/>
      <c r="C12" s="152"/>
      <c r="D12" s="9"/>
      <c r="E12" s="152"/>
      <c r="F12" s="152"/>
      <c r="G12" s="152"/>
      <c r="H12" s="152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K16" s="13"/>
      <c r="R16" s="7">
        <v>4259155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K17" s="39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K18" s="13"/>
      <c r="R18" s="7">
        <v>240000</v>
      </c>
    </row>
    <row r="19" spans="1:18" s="7" customFormat="1" ht="12.75" hidden="1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K19" s="13"/>
    </row>
    <row r="20" spans="1:18" s="7" customFormat="1" ht="12.75" hidden="1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K20" s="13"/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K21" s="13"/>
      <c r="R21" s="7">
        <v>60000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K22" s="13"/>
    </row>
    <row r="23" spans="1:18" s="7" customFormat="1" ht="12.75" hidden="1" customHeight="1" x14ac:dyDescent="0.2">
      <c r="A23" s="86" t="s">
        <v>18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19</v>
      </c>
      <c r="K23" s="13"/>
    </row>
    <row r="24" spans="1:18" s="7" customFormat="1" ht="12.75" hidden="1" customHeight="1" x14ac:dyDescent="0.2">
      <c r="A24" s="86" t="s">
        <v>23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24</v>
      </c>
    </row>
    <row r="25" spans="1:18" s="7" customFormat="1" ht="12.75" customHeight="1" x14ac:dyDescent="0.2">
      <c r="A25" s="86" t="s">
        <v>27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28</v>
      </c>
      <c r="R25" s="7">
        <v>356012</v>
      </c>
    </row>
    <row r="26" spans="1:18" s="7" customFormat="1" ht="12.75" customHeight="1" x14ac:dyDescent="0.2">
      <c r="A26" s="86" t="s">
        <v>25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26</v>
      </c>
      <c r="R26" s="7">
        <v>50000</v>
      </c>
    </row>
    <row r="27" spans="1:18" s="7" customFormat="1" ht="12.75" customHeight="1" x14ac:dyDescent="0.2">
      <c r="A27" s="86" t="s">
        <v>140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49</v>
      </c>
      <c r="K27" s="13"/>
      <c r="R27" s="7">
        <v>356012</v>
      </c>
    </row>
    <row r="28" spans="1:18" s="7" customFormat="1" ht="12.75" customHeight="1" x14ac:dyDescent="0.2">
      <c r="A28" s="86" t="s">
        <v>263</v>
      </c>
      <c r="B28" s="111"/>
      <c r="C28" s="111"/>
      <c r="D28" s="112"/>
      <c r="E28" s="112">
        <v>5</v>
      </c>
      <c r="F28" s="113" t="s">
        <v>7</v>
      </c>
      <c r="G28" s="112" t="s">
        <v>29</v>
      </c>
      <c r="H28" s="112" t="s">
        <v>8</v>
      </c>
      <c r="R28" s="7">
        <v>512657.28</v>
      </c>
    </row>
    <row r="29" spans="1:18" s="7" customFormat="1" ht="12.75" customHeight="1" x14ac:dyDescent="0.2">
      <c r="A29" s="86" t="s">
        <v>30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10</v>
      </c>
      <c r="R29" s="7">
        <v>12000</v>
      </c>
    </row>
    <row r="30" spans="1:18" s="7" customFormat="1" ht="12.75" customHeight="1" x14ac:dyDescent="0.2">
      <c r="A30" s="86" t="s">
        <v>31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15</v>
      </c>
      <c r="R30" s="7">
        <v>74762.52</v>
      </c>
    </row>
    <row r="31" spans="1:18" s="7" customFormat="1" ht="12.75" customHeight="1" x14ac:dyDescent="0.2">
      <c r="A31" s="86" t="s">
        <v>32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17</v>
      </c>
      <c r="R31" s="7">
        <v>12000</v>
      </c>
    </row>
    <row r="32" spans="1:18" s="7" customFormat="1" ht="12.75" hidden="1" customHeight="1" x14ac:dyDescent="0.2">
      <c r="A32" s="86" t="s">
        <v>33</v>
      </c>
      <c r="B32" s="111"/>
      <c r="C32" s="111"/>
      <c r="D32" s="112"/>
      <c r="E32" s="112">
        <v>5</v>
      </c>
      <c r="F32" s="113" t="s">
        <v>7</v>
      </c>
      <c r="G32" s="112" t="s">
        <v>34</v>
      </c>
      <c r="H32" s="112" t="s">
        <v>15</v>
      </c>
    </row>
    <row r="33" spans="1:18" s="7" customFormat="1" ht="12.75" customHeight="1" x14ac:dyDescent="0.2">
      <c r="A33" s="86" t="s">
        <v>35</v>
      </c>
      <c r="B33" s="111"/>
      <c r="C33" s="111"/>
      <c r="D33" s="112"/>
      <c r="E33" s="112">
        <v>5</v>
      </c>
      <c r="F33" s="113" t="s">
        <v>7</v>
      </c>
      <c r="G33" s="112" t="s">
        <v>34</v>
      </c>
      <c r="H33" s="112" t="s">
        <v>49</v>
      </c>
      <c r="R33" s="7">
        <v>50000</v>
      </c>
    </row>
    <row r="34" spans="1:18" s="7" customFormat="1" ht="18.95" customHeight="1" x14ac:dyDescent="0.2">
      <c r="A34" s="102" t="s">
        <v>36</v>
      </c>
      <c r="B34" s="26"/>
      <c r="C34" s="26"/>
      <c r="J34" s="161">
        <f>SUM(J16:J33)</f>
        <v>0</v>
      </c>
      <c r="K34" s="162"/>
      <c r="L34" s="161">
        <f>SUM(L16:L33)</f>
        <v>0</v>
      </c>
      <c r="M34" s="36"/>
      <c r="N34" s="161">
        <f>SUM(N16:N33)</f>
        <v>0</v>
      </c>
      <c r="O34" s="36"/>
      <c r="P34" s="161">
        <f>SUM(P16:P33)</f>
        <v>0</v>
      </c>
      <c r="R34" s="22">
        <f>SUM(R16:R33)</f>
        <v>5982598.7999999998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86" t="s">
        <v>37</v>
      </c>
      <c r="B37" s="111"/>
      <c r="C37" s="111"/>
      <c r="D37" s="112"/>
      <c r="E37" s="112">
        <v>5</v>
      </c>
      <c r="F37" s="113" t="s">
        <v>12</v>
      </c>
      <c r="G37" s="112" t="s">
        <v>7</v>
      </c>
      <c r="H37" s="112" t="s">
        <v>8</v>
      </c>
      <c r="R37" s="7">
        <v>33600</v>
      </c>
    </row>
    <row r="38" spans="1:18" s="7" customFormat="1" ht="12.75" hidden="1" customHeight="1" x14ac:dyDescent="0.2">
      <c r="A38" s="86" t="s">
        <v>38</v>
      </c>
      <c r="B38" s="111"/>
      <c r="C38" s="111"/>
      <c r="E38" s="112">
        <v>5</v>
      </c>
      <c r="F38" s="113" t="s">
        <v>12</v>
      </c>
      <c r="G38" s="112" t="s">
        <v>7</v>
      </c>
      <c r="H38" s="112" t="s">
        <v>10</v>
      </c>
    </row>
    <row r="39" spans="1:18" s="7" customFormat="1" ht="12.75" hidden="1" customHeight="1" x14ac:dyDescent="0.2">
      <c r="A39" s="86" t="s">
        <v>39</v>
      </c>
      <c r="B39" s="111"/>
      <c r="C39" s="111"/>
      <c r="E39" s="112">
        <v>5</v>
      </c>
      <c r="F39" s="113" t="s">
        <v>12</v>
      </c>
      <c r="G39" s="112" t="s">
        <v>12</v>
      </c>
      <c r="H39" s="112" t="s">
        <v>8</v>
      </c>
    </row>
    <row r="40" spans="1:18" s="7" customFormat="1" ht="12.75" hidden="1" customHeight="1" x14ac:dyDescent="0.2">
      <c r="A40" s="86" t="s">
        <v>142</v>
      </c>
      <c r="B40" s="111"/>
      <c r="C40" s="111"/>
      <c r="D40" s="112"/>
      <c r="E40" s="112">
        <v>5</v>
      </c>
      <c r="F40" s="113" t="s">
        <v>12</v>
      </c>
      <c r="G40" s="112" t="s">
        <v>12</v>
      </c>
      <c r="H40" s="112" t="s">
        <v>10</v>
      </c>
    </row>
    <row r="41" spans="1:18" s="7" customFormat="1" ht="12.75" hidden="1" customHeight="1" x14ac:dyDescent="0.2">
      <c r="A41" s="86" t="s">
        <v>40</v>
      </c>
      <c r="B41" s="111"/>
      <c r="C41" s="111"/>
      <c r="D41" s="112"/>
      <c r="E41" s="112">
        <v>5</v>
      </c>
      <c r="F41" s="113" t="s">
        <v>12</v>
      </c>
      <c r="G41" s="112" t="s">
        <v>29</v>
      </c>
      <c r="H41" s="112" t="s">
        <v>8</v>
      </c>
    </row>
    <row r="42" spans="1:18" s="7" customFormat="1" ht="12.75" hidden="1" customHeight="1" x14ac:dyDescent="0.2">
      <c r="A42" s="86" t="s">
        <v>88</v>
      </c>
      <c r="B42" s="111"/>
      <c r="C42" s="111"/>
      <c r="E42" s="112">
        <v>5</v>
      </c>
      <c r="F42" s="113" t="s">
        <v>12</v>
      </c>
      <c r="G42" s="112" t="s">
        <v>29</v>
      </c>
      <c r="H42" s="112" t="s">
        <v>60</v>
      </c>
    </row>
    <row r="43" spans="1:18" s="7" customFormat="1" ht="14.25" customHeight="1" x14ac:dyDescent="0.2">
      <c r="A43" s="86" t="s">
        <v>44</v>
      </c>
      <c r="B43" s="111"/>
      <c r="C43" s="111"/>
      <c r="D43" s="112"/>
      <c r="E43" s="112">
        <v>5</v>
      </c>
      <c r="F43" s="113" t="s">
        <v>12</v>
      </c>
      <c r="G43" s="112" t="s">
        <v>29</v>
      </c>
      <c r="H43" s="112" t="s">
        <v>45</v>
      </c>
      <c r="K43" s="19"/>
      <c r="R43" s="7">
        <v>90000</v>
      </c>
    </row>
    <row r="44" spans="1:18" s="7" customFormat="1" ht="12.75" hidden="1" customHeight="1" x14ac:dyDescent="0.2">
      <c r="A44" s="86" t="s">
        <v>46</v>
      </c>
      <c r="B44" s="111"/>
      <c r="C44" s="111"/>
      <c r="D44" s="112"/>
      <c r="E44" s="112">
        <v>5</v>
      </c>
      <c r="F44" s="113" t="s">
        <v>12</v>
      </c>
      <c r="G44" s="112" t="s">
        <v>29</v>
      </c>
      <c r="H44" s="112" t="s">
        <v>47</v>
      </c>
    </row>
    <row r="45" spans="1:18" s="7" customFormat="1" ht="12.75" hidden="1" customHeight="1" x14ac:dyDescent="0.2">
      <c r="A45" s="86" t="s">
        <v>48</v>
      </c>
      <c r="B45" s="111"/>
      <c r="C45" s="111"/>
      <c r="E45" s="112">
        <v>5</v>
      </c>
      <c r="F45" s="113" t="s">
        <v>12</v>
      </c>
      <c r="G45" s="112" t="s">
        <v>29</v>
      </c>
      <c r="H45" s="114" t="s">
        <v>49</v>
      </c>
      <c r="R45" s="7">
        <v>500000</v>
      </c>
    </row>
    <row r="46" spans="1:18" s="7" customFormat="1" ht="12.75" hidden="1" customHeight="1" x14ac:dyDescent="0.2">
      <c r="A46" s="86" t="s">
        <v>53</v>
      </c>
      <c r="B46" s="111"/>
      <c r="C46" s="111"/>
      <c r="E46" s="112">
        <v>5</v>
      </c>
      <c r="F46" s="113" t="s">
        <v>12</v>
      </c>
      <c r="G46" s="112" t="s">
        <v>54</v>
      </c>
      <c r="H46" s="112" t="s">
        <v>8</v>
      </c>
    </row>
    <row r="47" spans="1:18" s="7" customFormat="1" ht="12.75" hidden="1" customHeight="1" x14ac:dyDescent="0.2">
      <c r="A47" s="86" t="s">
        <v>55</v>
      </c>
      <c r="B47" s="111"/>
      <c r="C47" s="111"/>
      <c r="E47" s="112">
        <v>5</v>
      </c>
      <c r="F47" s="113" t="s">
        <v>12</v>
      </c>
      <c r="G47" s="112" t="s">
        <v>54</v>
      </c>
      <c r="H47" s="112" t="s">
        <v>10</v>
      </c>
    </row>
    <row r="48" spans="1:18" s="7" customFormat="1" ht="12.75" hidden="1" customHeight="1" x14ac:dyDescent="0.2">
      <c r="A48" s="86" t="s">
        <v>56</v>
      </c>
      <c r="B48" s="111"/>
      <c r="C48" s="111"/>
      <c r="E48" s="112">
        <v>5</v>
      </c>
      <c r="F48" s="113" t="s">
        <v>12</v>
      </c>
      <c r="G48" s="112" t="s">
        <v>54</v>
      </c>
      <c r="H48" s="112" t="s">
        <v>15</v>
      </c>
    </row>
    <row r="49" spans="1:18" s="7" customFormat="1" ht="12.75" hidden="1" customHeight="1" x14ac:dyDescent="0.2">
      <c r="A49" s="86" t="s">
        <v>57</v>
      </c>
      <c r="B49" s="111"/>
      <c r="C49" s="111"/>
      <c r="E49" s="112">
        <v>5</v>
      </c>
      <c r="F49" s="113" t="s">
        <v>12</v>
      </c>
      <c r="G49" s="112" t="s">
        <v>54</v>
      </c>
      <c r="H49" s="112" t="s">
        <v>17</v>
      </c>
    </row>
    <row r="50" spans="1:18" s="7" customFormat="1" ht="12.75" hidden="1" customHeight="1" x14ac:dyDescent="0.2">
      <c r="A50" s="86" t="s">
        <v>66</v>
      </c>
      <c r="B50" s="111"/>
      <c r="C50" s="111"/>
      <c r="E50" s="112">
        <v>5</v>
      </c>
      <c r="F50" s="113" t="s">
        <v>12</v>
      </c>
      <c r="G50" s="112" t="s">
        <v>67</v>
      </c>
      <c r="H50" s="112" t="s">
        <v>8</v>
      </c>
    </row>
    <row r="51" spans="1:18" s="7" customFormat="1" ht="12.75" hidden="1" customHeight="1" x14ac:dyDescent="0.2">
      <c r="A51" s="86" t="s">
        <v>61</v>
      </c>
      <c r="B51" s="111"/>
      <c r="C51" s="111"/>
      <c r="E51" s="112">
        <v>5</v>
      </c>
      <c r="F51" s="113" t="s">
        <v>12</v>
      </c>
      <c r="G51" s="112" t="s">
        <v>59</v>
      </c>
      <c r="H51" s="112" t="s">
        <v>8</v>
      </c>
    </row>
    <row r="52" spans="1:18" s="7" customFormat="1" ht="12.75" hidden="1" customHeight="1" x14ac:dyDescent="0.2">
      <c r="A52" s="86" t="s">
        <v>62</v>
      </c>
      <c r="B52" s="111"/>
      <c r="C52" s="111"/>
      <c r="E52" s="112">
        <v>5</v>
      </c>
      <c r="F52" s="113" t="s">
        <v>12</v>
      </c>
      <c r="G52" s="112" t="s">
        <v>59</v>
      </c>
      <c r="H52" s="112" t="s">
        <v>10</v>
      </c>
    </row>
    <row r="53" spans="1:18" s="7" customFormat="1" ht="12.75" hidden="1" customHeight="1" x14ac:dyDescent="0.2">
      <c r="A53" s="86" t="s">
        <v>63</v>
      </c>
      <c r="B53" s="111"/>
      <c r="C53" s="111"/>
      <c r="E53" s="112">
        <v>5</v>
      </c>
      <c r="F53" s="113" t="s">
        <v>12</v>
      </c>
      <c r="G53" s="112" t="s">
        <v>59</v>
      </c>
      <c r="H53" s="112" t="s">
        <v>64</v>
      </c>
    </row>
    <row r="54" spans="1:18" s="7" customFormat="1" ht="12.75" hidden="1" customHeight="1" x14ac:dyDescent="0.2">
      <c r="A54" s="86" t="s">
        <v>65</v>
      </c>
      <c r="B54" s="111"/>
      <c r="C54" s="111"/>
      <c r="E54" s="112">
        <v>5</v>
      </c>
      <c r="F54" s="113" t="s">
        <v>12</v>
      </c>
      <c r="G54" s="112" t="s">
        <v>59</v>
      </c>
      <c r="H54" s="112" t="s">
        <v>19</v>
      </c>
    </row>
    <row r="55" spans="1:18" s="7" customFormat="1" ht="12.75" hidden="1" customHeight="1" x14ac:dyDescent="0.2">
      <c r="A55" s="86" t="s">
        <v>68</v>
      </c>
      <c r="B55" s="111"/>
      <c r="C55" s="111"/>
      <c r="E55" s="112">
        <v>5</v>
      </c>
      <c r="F55" s="113" t="s">
        <v>12</v>
      </c>
      <c r="G55" s="112" t="s">
        <v>67</v>
      </c>
      <c r="H55" s="112" t="s">
        <v>10</v>
      </c>
      <c r="R55" s="7">
        <v>25000000</v>
      </c>
    </row>
    <row r="56" spans="1:18" s="7" customFormat="1" ht="12.75" hidden="1" customHeight="1" x14ac:dyDescent="0.2">
      <c r="A56" s="86" t="s">
        <v>69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15</v>
      </c>
    </row>
    <row r="57" spans="1:18" s="7" customFormat="1" ht="12.75" customHeight="1" x14ac:dyDescent="0.2">
      <c r="A57" s="86" t="s">
        <v>72</v>
      </c>
      <c r="B57" s="111"/>
      <c r="C57" s="111"/>
      <c r="E57" s="112">
        <v>5</v>
      </c>
      <c r="F57" s="113" t="s">
        <v>12</v>
      </c>
      <c r="G57" s="112" t="s">
        <v>70</v>
      </c>
      <c r="H57" s="112" t="s">
        <v>49</v>
      </c>
      <c r="R57" s="7">
        <v>63000</v>
      </c>
    </row>
    <row r="58" spans="1:18" s="7" customFormat="1" ht="12.75" hidden="1" customHeight="1" x14ac:dyDescent="0.2">
      <c r="A58" s="86" t="s">
        <v>73</v>
      </c>
      <c r="B58" s="111"/>
      <c r="C58" s="111"/>
      <c r="E58" s="112">
        <v>5</v>
      </c>
      <c r="F58" s="113" t="s">
        <v>12</v>
      </c>
      <c r="G58" s="112" t="s">
        <v>74</v>
      </c>
      <c r="H58" s="112" t="s">
        <v>64</v>
      </c>
    </row>
    <row r="59" spans="1:18" s="7" customFormat="1" ht="12.75" hidden="1" customHeight="1" x14ac:dyDescent="0.2">
      <c r="A59" s="86" t="s">
        <v>75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19</v>
      </c>
    </row>
    <row r="60" spans="1:18" s="7" customFormat="1" ht="12.75" hidden="1" customHeight="1" x14ac:dyDescent="0.2">
      <c r="A60" s="86" t="s">
        <v>77</v>
      </c>
      <c r="B60" s="111"/>
      <c r="C60" s="111"/>
      <c r="E60" s="112">
        <v>5</v>
      </c>
      <c r="F60" s="113" t="s">
        <v>12</v>
      </c>
      <c r="G60" s="112" t="s">
        <v>74</v>
      </c>
      <c r="H60" s="112" t="s">
        <v>49</v>
      </c>
    </row>
    <row r="61" spans="1:18" s="7" customFormat="1" ht="12.75" hidden="1" customHeight="1" x14ac:dyDescent="0.2">
      <c r="A61" s="86" t="s">
        <v>78</v>
      </c>
      <c r="B61" s="111"/>
      <c r="C61" s="111"/>
      <c r="E61" s="112">
        <v>5</v>
      </c>
      <c r="F61" s="113" t="s">
        <v>12</v>
      </c>
      <c r="G61" s="112" t="s">
        <v>79</v>
      </c>
      <c r="H61" s="112" t="s">
        <v>10</v>
      </c>
    </row>
    <row r="62" spans="1:18" s="7" customFormat="1" ht="12.75" customHeight="1" x14ac:dyDescent="0.2">
      <c r="A62" s="86" t="s">
        <v>80</v>
      </c>
      <c r="B62" s="111"/>
      <c r="C62" s="111"/>
      <c r="E62" s="112">
        <v>5</v>
      </c>
      <c r="F62" s="113" t="s">
        <v>12</v>
      </c>
      <c r="G62" s="112" t="s">
        <v>79</v>
      </c>
      <c r="H62" s="112" t="s">
        <v>15</v>
      </c>
      <c r="R62" s="7">
        <v>3000000</v>
      </c>
    </row>
    <row r="63" spans="1:18" s="7" customFormat="1" ht="12.75" hidden="1" customHeight="1" x14ac:dyDescent="0.2">
      <c r="A63" s="86" t="s">
        <v>83</v>
      </c>
      <c r="B63" s="111"/>
      <c r="C63" s="111"/>
      <c r="E63" s="112">
        <v>5</v>
      </c>
      <c r="F63" s="113" t="s">
        <v>12</v>
      </c>
      <c r="G63" s="112" t="s">
        <v>84</v>
      </c>
      <c r="H63" s="113" t="s">
        <v>8</v>
      </c>
    </row>
    <row r="64" spans="1:18" s="7" customFormat="1" ht="12.75" hidden="1" customHeight="1" x14ac:dyDescent="0.2">
      <c r="A64" s="86" t="s">
        <v>86</v>
      </c>
      <c r="B64" s="111"/>
      <c r="C64" s="111"/>
      <c r="E64" s="112">
        <v>5</v>
      </c>
      <c r="F64" s="113" t="s">
        <v>12</v>
      </c>
      <c r="G64" s="112" t="s">
        <v>84</v>
      </c>
      <c r="H64" s="113" t="s">
        <v>15</v>
      </c>
    </row>
    <row r="65" spans="1:18" s="7" customFormat="1" ht="12.75" hidden="1" customHeight="1" x14ac:dyDescent="0.2">
      <c r="A65" s="86" t="s">
        <v>156</v>
      </c>
      <c r="B65" s="111"/>
      <c r="C65" s="111"/>
      <c r="E65" s="112">
        <v>5</v>
      </c>
      <c r="F65" s="113" t="s">
        <v>12</v>
      </c>
      <c r="G65" s="114" t="s">
        <v>59</v>
      </c>
      <c r="H65" s="128" t="s">
        <v>17</v>
      </c>
    </row>
    <row r="66" spans="1:18" s="7" customFormat="1" ht="12.75" hidden="1" customHeight="1" x14ac:dyDescent="0.2">
      <c r="A66" s="86" t="s">
        <v>312</v>
      </c>
      <c r="B66" s="111"/>
      <c r="C66" s="111"/>
      <c r="E66" s="112">
        <v>5</v>
      </c>
      <c r="F66" s="113" t="s">
        <v>12</v>
      </c>
      <c r="G66" s="114" t="s">
        <v>59</v>
      </c>
      <c r="H66" s="128" t="s">
        <v>60</v>
      </c>
    </row>
    <row r="67" spans="1:18" s="7" customFormat="1" ht="12.75" hidden="1" customHeight="1" x14ac:dyDescent="0.2">
      <c r="A67" s="86" t="s">
        <v>81</v>
      </c>
      <c r="B67" s="111"/>
      <c r="C67" s="111"/>
      <c r="E67" s="112">
        <v>5</v>
      </c>
      <c r="F67" s="113" t="s">
        <v>12</v>
      </c>
      <c r="G67" s="112" t="s">
        <v>59</v>
      </c>
      <c r="H67" s="113" t="s">
        <v>82</v>
      </c>
    </row>
    <row r="68" spans="1:18" s="7" customFormat="1" ht="12.75" customHeight="1" x14ac:dyDescent="0.2">
      <c r="A68" s="86" t="s">
        <v>260</v>
      </c>
      <c r="B68" s="111"/>
      <c r="C68" s="111"/>
      <c r="E68" s="112">
        <v>5</v>
      </c>
      <c r="F68" s="113" t="s">
        <v>12</v>
      </c>
      <c r="G68" s="134">
        <v>99</v>
      </c>
      <c r="H68" s="135">
        <v>990</v>
      </c>
      <c r="R68" s="7">
        <v>8343720</v>
      </c>
    </row>
    <row r="69" spans="1:18" s="7" customFormat="1" ht="18.95" customHeight="1" x14ac:dyDescent="0.2">
      <c r="A69" s="314" t="s">
        <v>191</v>
      </c>
      <c r="B69" s="314"/>
      <c r="C69" s="314"/>
      <c r="J69" s="161">
        <f>SUM(J37:J68)</f>
        <v>0</v>
      </c>
      <c r="K69" s="162"/>
      <c r="L69" s="161">
        <f>SUM(L37:L68)</f>
        <v>0</v>
      </c>
      <c r="M69" s="36"/>
      <c r="N69" s="161">
        <f>SUM(N37:N68)</f>
        <v>0</v>
      </c>
      <c r="O69" s="36"/>
      <c r="P69" s="161">
        <f>SUM(P37:P68)</f>
        <v>0</v>
      </c>
      <c r="R69" s="22">
        <f>SUM(R37:R68)</f>
        <v>37030320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86" t="s">
        <v>92</v>
      </c>
      <c r="B72" s="111"/>
      <c r="C72" s="111"/>
      <c r="E72" s="112">
        <v>1</v>
      </c>
      <c r="F72" s="113" t="s">
        <v>93</v>
      </c>
      <c r="G72" s="112" t="s">
        <v>7</v>
      </c>
      <c r="H72" s="112" t="s">
        <v>8</v>
      </c>
    </row>
    <row r="73" spans="1:18" s="7" customFormat="1" ht="12.75" hidden="1" customHeight="1" x14ac:dyDescent="0.2">
      <c r="A73" s="86" t="s">
        <v>94</v>
      </c>
      <c r="B73" s="111"/>
      <c r="C73" s="111"/>
      <c r="E73" s="112">
        <v>1</v>
      </c>
      <c r="F73" s="113" t="s">
        <v>93</v>
      </c>
      <c r="G73" s="112" t="s">
        <v>34</v>
      </c>
      <c r="H73" s="112" t="s">
        <v>8</v>
      </c>
    </row>
    <row r="74" spans="1:18" s="7" customFormat="1" ht="12.75" hidden="1" customHeight="1" x14ac:dyDescent="0.2">
      <c r="A74" s="86" t="s">
        <v>96</v>
      </c>
      <c r="B74" s="111"/>
      <c r="C74" s="111"/>
      <c r="E74" s="112">
        <v>1</v>
      </c>
      <c r="F74" s="113" t="s">
        <v>93</v>
      </c>
      <c r="G74" s="112" t="s">
        <v>54</v>
      </c>
      <c r="H74" s="114" t="s">
        <v>10</v>
      </c>
    </row>
    <row r="75" spans="1:18" s="7" customFormat="1" ht="12.75" hidden="1" customHeight="1" x14ac:dyDescent="0.2">
      <c r="A75" s="86" t="s">
        <v>98</v>
      </c>
      <c r="B75" s="116"/>
      <c r="C75" s="116"/>
      <c r="E75" s="112">
        <v>1</v>
      </c>
      <c r="F75" s="113" t="s">
        <v>93</v>
      </c>
      <c r="G75" s="112" t="s">
        <v>54</v>
      </c>
      <c r="H75" s="112" t="s">
        <v>15</v>
      </c>
    </row>
    <row r="76" spans="1:18" s="7" customFormat="1" ht="12.75" hidden="1" customHeight="1" x14ac:dyDescent="0.2">
      <c r="A76" s="86" t="s">
        <v>100</v>
      </c>
      <c r="B76" s="111"/>
      <c r="C76" s="111"/>
      <c r="E76" s="112">
        <v>1</v>
      </c>
      <c r="F76" s="113" t="s">
        <v>93</v>
      </c>
      <c r="G76" s="112" t="s">
        <v>54</v>
      </c>
      <c r="H76" s="112" t="s">
        <v>19</v>
      </c>
    </row>
    <row r="77" spans="1:18" s="7" customFormat="1" ht="12.75" hidden="1" customHeight="1" x14ac:dyDescent="0.2">
      <c r="A77" s="86" t="s">
        <v>101</v>
      </c>
      <c r="B77" s="111"/>
      <c r="C77" s="111"/>
      <c r="E77" s="112">
        <v>1</v>
      </c>
      <c r="F77" s="113" t="s">
        <v>93</v>
      </c>
      <c r="G77" s="112" t="s">
        <v>54</v>
      </c>
      <c r="H77" s="112" t="s">
        <v>102</v>
      </c>
    </row>
    <row r="78" spans="1:18" s="7" customFormat="1" ht="12.75" customHeight="1" x14ac:dyDescent="0.2">
      <c r="A78" s="86" t="s">
        <v>105</v>
      </c>
      <c r="B78" s="111"/>
      <c r="C78" s="111"/>
      <c r="D78" s="113"/>
      <c r="E78" s="112">
        <v>1</v>
      </c>
      <c r="F78" s="113" t="s">
        <v>93</v>
      </c>
      <c r="G78" s="112" t="s">
        <v>54</v>
      </c>
      <c r="H78" s="114" t="s">
        <v>49</v>
      </c>
      <c r="R78" s="7">
        <v>400000</v>
      </c>
    </row>
    <row r="79" spans="1:18" s="7" customFormat="1" ht="12.75" hidden="1" customHeight="1" x14ac:dyDescent="0.2">
      <c r="A79" s="86" t="s">
        <v>106</v>
      </c>
      <c r="B79" s="111"/>
      <c r="C79" s="111"/>
      <c r="D79" s="113"/>
      <c r="E79" s="112">
        <v>1</v>
      </c>
      <c r="F79" s="113" t="s">
        <v>93</v>
      </c>
      <c r="G79" s="114" t="s">
        <v>67</v>
      </c>
      <c r="H79" s="114" t="s">
        <v>8</v>
      </c>
    </row>
    <row r="80" spans="1:18" s="7" customFormat="1" ht="12.75" customHeight="1" x14ac:dyDescent="0.2">
      <c r="A80" s="86" t="s">
        <v>283</v>
      </c>
      <c r="B80" s="111"/>
      <c r="C80" s="111"/>
      <c r="D80" s="113"/>
      <c r="E80" s="112">
        <v>1</v>
      </c>
      <c r="F80" s="113" t="s">
        <v>93</v>
      </c>
      <c r="G80" s="114" t="s">
        <v>93</v>
      </c>
      <c r="H80" s="114" t="s">
        <v>8</v>
      </c>
    </row>
    <row r="81" spans="1:18" s="7" customFormat="1" ht="12.75" hidden="1" customHeight="1" x14ac:dyDescent="0.2">
      <c r="A81" s="86" t="s">
        <v>107</v>
      </c>
      <c r="B81" s="111"/>
      <c r="C81" s="111"/>
      <c r="D81" s="113"/>
      <c r="E81" s="112">
        <v>1</v>
      </c>
      <c r="F81" s="113" t="s">
        <v>93</v>
      </c>
      <c r="G81" s="112" t="s">
        <v>59</v>
      </c>
      <c r="H81" s="114" t="s">
        <v>49</v>
      </c>
    </row>
    <row r="82" spans="1:18" s="7" customFormat="1" ht="12.75" hidden="1" customHeight="1" x14ac:dyDescent="0.2">
      <c r="A82" s="86" t="s">
        <v>271</v>
      </c>
      <c r="B82" s="111"/>
      <c r="C82" s="111"/>
      <c r="D82" s="113"/>
      <c r="E82" s="112">
        <v>1</v>
      </c>
      <c r="F82" s="128" t="s">
        <v>272</v>
      </c>
      <c r="G82" s="114" t="s">
        <v>7</v>
      </c>
      <c r="H82" s="114" t="s">
        <v>10</v>
      </c>
    </row>
    <row r="83" spans="1:18" s="27" customFormat="1" ht="18.95" customHeight="1" x14ac:dyDescent="0.2">
      <c r="A83" s="102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400000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43412918.799999997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54" t="s">
        <v>276</v>
      </c>
      <c r="D88" s="33"/>
      <c r="E88" s="32"/>
      <c r="G88" s="31"/>
      <c r="I88" s="31"/>
      <c r="M88" s="47"/>
      <c r="N88" s="311" t="s">
        <v>135</v>
      </c>
      <c r="O88" s="311"/>
      <c r="P88" s="311"/>
    </row>
    <row r="89" spans="1:18" ht="9.9499999999999993" customHeight="1" x14ac:dyDescent="0.2">
      <c r="A89" s="46"/>
      <c r="C89" s="154"/>
      <c r="D89" s="33"/>
      <c r="E89" s="32"/>
      <c r="G89" s="31"/>
      <c r="I89" s="31"/>
      <c r="M89" s="47"/>
      <c r="N89" s="151"/>
      <c r="O89" s="151"/>
      <c r="P89" s="151"/>
    </row>
    <row r="90" spans="1:18" x14ac:dyDescent="0.2">
      <c r="A90" s="50"/>
      <c r="C90" s="154"/>
      <c r="D90" s="33"/>
      <c r="E90" s="51"/>
      <c r="G90" s="31"/>
      <c r="I90" s="31"/>
      <c r="M90" s="154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55" t="s">
        <v>291</v>
      </c>
      <c r="D92" s="55"/>
      <c r="E92" s="56"/>
      <c r="G92" s="31"/>
      <c r="I92" s="31"/>
      <c r="M92" s="57"/>
      <c r="N92" s="312" t="s">
        <v>137</v>
      </c>
      <c r="O92" s="312"/>
      <c r="P92" s="312"/>
    </row>
    <row r="93" spans="1:18" x14ac:dyDescent="0.2">
      <c r="A93" s="52"/>
      <c r="C93" s="154" t="s">
        <v>269</v>
      </c>
      <c r="D93" s="31"/>
      <c r="E93" s="32"/>
      <c r="G93" s="31"/>
      <c r="I93" s="31"/>
      <c r="M93" s="33"/>
      <c r="N93" s="313" t="s">
        <v>139</v>
      </c>
      <c r="O93" s="313"/>
      <c r="P93" s="313"/>
    </row>
  </sheetData>
  <customSheetViews>
    <customSheetView guid="{1998FCB8-1FEB-4076-ACE6-A225EE4366B3}" printArea="1" hiddenRows="1" view="pageBreakPreview">
      <pane xSplit="1" ySplit="14" topLeftCell="B57" activePane="bottomRight" state="frozen"/>
      <selection pane="bottomRight" activeCell="R34" sqref="R34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  <customSheetView guid="{DE3A1FFE-44A0-41BD-98AB-2A2226968564}" printArea="1" hiddenRows="1" view="pageBreakPreview">
      <pane xSplit="1" ySplit="14" topLeftCell="B15" activePane="bottomRight" state="frozen"/>
      <selection pane="bottomRight" activeCell="J16" sqref="J16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  <customSheetView guid="{EE975321-C15E-44A7-AFC6-A307116A4F6E}" printArea="1" hiddenRows="1" view="pageBreakPreview">
      <pane xSplit="1" ySplit="14" topLeftCell="B62" activePane="bottomRight" state="frozen"/>
      <selection pane="bottomRight" activeCell="R78" sqref="R78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 </oddHeader>
    <oddFooter>&amp;C&amp;10Page &amp;P of &amp;N</oddFooter>
  </headerFooter>
  <rowBreaks count="1" manualBreakCount="1">
    <brk id="7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R62" sqref="R6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214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153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152"/>
      <c r="B12" s="152"/>
      <c r="C12" s="152"/>
      <c r="D12" s="9"/>
      <c r="E12" s="152"/>
      <c r="F12" s="152"/>
      <c r="G12" s="152"/>
      <c r="H12" s="152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K16" s="13"/>
      <c r="R16" s="7">
        <v>828204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K17" s="39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K18" s="13"/>
      <c r="R18" s="7">
        <v>24000</v>
      </c>
    </row>
    <row r="19" spans="1:18" s="7" customFormat="1" ht="12.75" hidden="1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K19" s="13"/>
    </row>
    <row r="20" spans="1:18" s="7" customFormat="1" ht="12.75" hidden="1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K20" s="13"/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K21" s="13"/>
      <c r="R21" s="7">
        <v>6000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K22" s="13"/>
    </row>
    <row r="23" spans="1:18" s="7" customFormat="1" ht="12.75" hidden="1" customHeight="1" x14ac:dyDescent="0.2">
      <c r="A23" s="86" t="s">
        <v>18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19</v>
      </c>
      <c r="K23" s="13"/>
    </row>
    <row r="24" spans="1:18" s="7" customFormat="1" ht="12.75" hidden="1" customHeight="1" x14ac:dyDescent="0.2">
      <c r="A24" s="86" t="s">
        <v>23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4" t="s">
        <v>24</v>
      </c>
    </row>
    <row r="25" spans="1:18" s="7" customFormat="1" ht="12.75" customHeight="1" x14ac:dyDescent="0.2">
      <c r="A25" s="86" t="s">
        <v>27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4" t="s">
        <v>28</v>
      </c>
      <c r="R25" s="7">
        <v>69017</v>
      </c>
    </row>
    <row r="26" spans="1:18" s="7" customFormat="1" ht="12.75" customHeight="1" x14ac:dyDescent="0.2">
      <c r="A26" s="86" t="s">
        <v>25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26</v>
      </c>
      <c r="R26" s="7">
        <v>5000</v>
      </c>
    </row>
    <row r="27" spans="1:18" s="7" customFormat="1" ht="12.75" customHeight="1" x14ac:dyDescent="0.2">
      <c r="A27" s="86" t="s">
        <v>140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49</v>
      </c>
      <c r="K27" s="13"/>
      <c r="R27" s="7">
        <v>69017</v>
      </c>
    </row>
    <row r="28" spans="1:18" s="7" customFormat="1" ht="12.75" customHeight="1" x14ac:dyDescent="0.2">
      <c r="A28" s="86" t="s">
        <v>263</v>
      </c>
      <c r="B28" s="111"/>
      <c r="C28" s="111"/>
      <c r="D28" s="112"/>
      <c r="E28" s="112">
        <v>5</v>
      </c>
      <c r="F28" s="113" t="s">
        <v>7</v>
      </c>
      <c r="G28" s="112" t="s">
        <v>29</v>
      </c>
      <c r="H28" s="112" t="s">
        <v>8</v>
      </c>
      <c r="R28" s="7">
        <v>99384.48</v>
      </c>
    </row>
    <row r="29" spans="1:18" s="7" customFormat="1" ht="12.75" customHeight="1" x14ac:dyDescent="0.2">
      <c r="A29" s="86" t="s">
        <v>30</v>
      </c>
      <c r="B29" s="111"/>
      <c r="C29" s="111"/>
      <c r="D29" s="112"/>
      <c r="E29" s="112">
        <v>5</v>
      </c>
      <c r="F29" s="113" t="s">
        <v>7</v>
      </c>
      <c r="G29" s="112" t="s">
        <v>29</v>
      </c>
      <c r="H29" s="112" t="s">
        <v>10</v>
      </c>
      <c r="R29" s="7">
        <v>1200</v>
      </c>
    </row>
    <row r="30" spans="1:18" s="7" customFormat="1" ht="12.75" customHeight="1" x14ac:dyDescent="0.2">
      <c r="A30" s="86" t="s">
        <v>31</v>
      </c>
      <c r="B30" s="111"/>
      <c r="C30" s="111"/>
      <c r="D30" s="112"/>
      <c r="E30" s="112">
        <v>5</v>
      </c>
      <c r="F30" s="113" t="s">
        <v>7</v>
      </c>
      <c r="G30" s="112" t="s">
        <v>29</v>
      </c>
      <c r="H30" s="112" t="s">
        <v>15</v>
      </c>
      <c r="R30" s="7">
        <v>14493.57</v>
      </c>
    </row>
    <row r="31" spans="1:18" s="7" customFormat="1" ht="12.75" customHeight="1" x14ac:dyDescent="0.2">
      <c r="A31" s="86" t="s">
        <v>32</v>
      </c>
      <c r="B31" s="111"/>
      <c r="C31" s="111"/>
      <c r="D31" s="112"/>
      <c r="E31" s="112">
        <v>5</v>
      </c>
      <c r="F31" s="113" t="s">
        <v>7</v>
      </c>
      <c r="G31" s="112" t="s">
        <v>29</v>
      </c>
      <c r="H31" s="112" t="s">
        <v>17</v>
      </c>
      <c r="R31" s="7">
        <v>1200</v>
      </c>
    </row>
    <row r="32" spans="1:18" s="7" customFormat="1" ht="12.75" hidden="1" customHeight="1" x14ac:dyDescent="0.2">
      <c r="A32" s="86" t="s">
        <v>33</v>
      </c>
      <c r="B32" s="111"/>
      <c r="C32" s="111"/>
      <c r="D32" s="112"/>
      <c r="E32" s="112">
        <v>5</v>
      </c>
      <c r="F32" s="113" t="s">
        <v>7</v>
      </c>
      <c r="G32" s="112" t="s">
        <v>34</v>
      </c>
      <c r="H32" s="112" t="s">
        <v>15</v>
      </c>
    </row>
    <row r="33" spans="1:18" s="7" customFormat="1" ht="12.75" customHeight="1" x14ac:dyDescent="0.2">
      <c r="A33" s="86" t="s">
        <v>35</v>
      </c>
      <c r="B33" s="111"/>
      <c r="C33" s="111"/>
      <c r="D33" s="112"/>
      <c r="E33" s="112">
        <v>5</v>
      </c>
      <c r="F33" s="113" t="s">
        <v>7</v>
      </c>
      <c r="G33" s="112" t="s">
        <v>34</v>
      </c>
      <c r="H33" s="112" t="s">
        <v>49</v>
      </c>
      <c r="R33" s="7">
        <v>5000</v>
      </c>
    </row>
    <row r="34" spans="1:18" s="7" customFormat="1" ht="18.95" customHeight="1" x14ac:dyDescent="0.2">
      <c r="A34" s="102" t="s">
        <v>36</v>
      </c>
      <c r="B34" s="26"/>
      <c r="C34" s="26"/>
      <c r="J34" s="161">
        <f>SUM(J16:J33)</f>
        <v>0</v>
      </c>
      <c r="K34" s="162"/>
      <c r="L34" s="161">
        <f>SUM(L16:L33)</f>
        <v>0</v>
      </c>
      <c r="M34" s="36"/>
      <c r="N34" s="161">
        <f>SUM(N16:N33)</f>
        <v>0</v>
      </c>
      <c r="O34" s="36"/>
      <c r="P34" s="161">
        <f>SUM(P16:P33)</f>
        <v>0</v>
      </c>
      <c r="R34" s="22">
        <f>SUM(R16:R33)</f>
        <v>1122516.05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86" t="s">
        <v>37</v>
      </c>
      <c r="B37" s="111"/>
      <c r="C37" s="111"/>
      <c r="D37" s="112"/>
      <c r="E37" s="112">
        <v>5</v>
      </c>
      <c r="F37" s="113" t="s">
        <v>12</v>
      </c>
      <c r="G37" s="112" t="s">
        <v>7</v>
      </c>
      <c r="H37" s="112" t="s">
        <v>8</v>
      </c>
      <c r="R37" s="7">
        <v>76000</v>
      </c>
    </row>
    <row r="38" spans="1:18" s="7" customFormat="1" ht="12.75" hidden="1" customHeight="1" x14ac:dyDescent="0.2">
      <c r="A38" s="86" t="s">
        <v>38</v>
      </c>
      <c r="B38" s="111"/>
      <c r="C38" s="111"/>
      <c r="E38" s="112">
        <v>5</v>
      </c>
      <c r="F38" s="113" t="s">
        <v>12</v>
      </c>
      <c r="G38" s="112" t="s">
        <v>7</v>
      </c>
      <c r="H38" s="112" t="s">
        <v>10</v>
      </c>
    </row>
    <row r="39" spans="1:18" s="7" customFormat="1" ht="12.75" hidden="1" customHeight="1" x14ac:dyDescent="0.2">
      <c r="A39" s="86" t="s">
        <v>39</v>
      </c>
      <c r="B39" s="111"/>
      <c r="C39" s="111"/>
      <c r="E39" s="112">
        <v>5</v>
      </c>
      <c r="F39" s="113" t="s">
        <v>12</v>
      </c>
      <c r="G39" s="112" t="s">
        <v>12</v>
      </c>
      <c r="H39" s="112" t="s">
        <v>8</v>
      </c>
    </row>
    <row r="40" spans="1:18" s="7" customFormat="1" ht="12.75" customHeight="1" x14ac:dyDescent="0.2">
      <c r="A40" s="86" t="s">
        <v>142</v>
      </c>
      <c r="B40" s="111"/>
      <c r="C40" s="111"/>
      <c r="D40" s="112"/>
      <c r="E40" s="112">
        <v>5</v>
      </c>
      <c r="F40" s="113" t="s">
        <v>12</v>
      </c>
      <c r="G40" s="112" t="s">
        <v>12</v>
      </c>
      <c r="H40" s="112" t="s">
        <v>10</v>
      </c>
      <c r="R40" s="7">
        <v>33000000</v>
      </c>
    </row>
    <row r="41" spans="1:18" s="7" customFormat="1" ht="12.75" hidden="1" customHeight="1" x14ac:dyDescent="0.2">
      <c r="A41" s="86" t="s">
        <v>40</v>
      </c>
      <c r="B41" s="111"/>
      <c r="C41" s="111"/>
      <c r="D41" s="112"/>
      <c r="E41" s="112">
        <v>5</v>
      </c>
      <c r="F41" s="113" t="s">
        <v>12</v>
      </c>
      <c r="G41" s="112" t="s">
        <v>29</v>
      </c>
      <c r="H41" s="112" t="s">
        <v>8</v>
      </c>
    </row>
    <row r="42" spans="1:18" s="7" customFormat="1" ht="12.75" hidden="1" customHeight="1" x14ac:dyDescent="0.2">
      <c r="A42" s="86" t="s">
        <v>88</v>
      </c>
      <c r="B42" s="111"/>
      <c r="C42" s="111"/>
      <c r="E42" s="112">
        <v>5</v>
      </c>
      <c r="F42" s="113" t="s">
        <v>12</v>
      </c>
      <c r="G42" s="112" t="s">
        <v>29</v>
      </c>
      <c r="H42" s="112" t="s">
        <v>60</v>
      </c>
    </row>
    <row r="43" spans="1:18" s="7" customFormat="1" ht="12.75" customHeight="1" x14ac:dyDescent="0.2">
      <c r="A43" s="86" t="s">
        <v>44</v>
      </c>
      <c r="B43" s="111"/>
      <c r="C43" s="111"/>
      <c r="D43" s="112"/>
      <c r="E43" s="112">
        <v>5</v>
      </c>
      <c r="F43" s="113" t="s">
        <v>12</v>
      </c>
      <c r="G43" s="112" t="s">
        <v>29</v>
      </c>
      <c r="H43" s="112" t="s">
        <v>45</v>
      </c>
      <c r="K43" s="19"/>
      <c r="R43" s="7">
        <v>90000</v>
      </c>
    </row>
    <row r="44" spans="1:18" s="7" customFormat="1" ht="12.75" hidden="1" customHeight="1" x14ac:dyDescent="0.2">
      <c r="A44" s="86" t="s">
        <v>46</v>
      </c>
      <c r="B44" s="111"/>
      <c r="C44" s="111"/>
      <c r="D44" s="112"/>
      <c r="E44" s="112">
        <v>5</v>
      </c>
      <c r="F44" s="113" t="s">
        <v>12</v>
      </c>
      <c r="G44" s="112" t="s">
        <v>29</v>
      </c>
      <c r="H44" s="112" t="s">
        <v>47</v>
      </c>
    </row>
    <row r="45" spans="1:18" s="7" customFormat="1" ht="12.75" customHeight="1" x14ac:dyDescent="0.2">
      <c r="A45" s="86" t="s">
        <v>48</v>
      </c>
      <c r="B45" s="111"/>
      <c r="C45" s="111"/>
      <c r="E45" s="112">
        <v>5</v>
      </c>
      <c r="F45" s="113" t="s">
        <v>12</v>
      </c>
      <c r="G45" s="112" t="s">
        <v>29</v>
      </c>
      <c r="H45" s="114" t="s">
        <v>49</v>
      </c>
    </row>
    <row r="46" spans="1:18" s="7" customFormat="1" ht="12.75" hidden="1" customHeight="1" x14ac:dyDescent="0.2">
      <c r="A46" s="86" t="s">
        <v>53</v>
      </c>
      <c r="B46" s="111"/>
      <c r="C46" s="111"/>
      <c r="E46" s="112">
        <v>5</v>
      </c>
      <c r="F46" s="113" t="s">
        <v>12</v>
      </c>
      <c r="G46" s="112" t="s">
        <v>54</v>
      </c>
      <c r="H46" s="112" t="s">
        <v>8</v>
      </c>
      <c r="R46" s="7">
        <v>2000</v>
      </c>
    </row>
    <row r="47" spans="1:18" s="7" customFormat="1" ht="12.75" hidden="1" customHeight="1" x14ac:dyDescent="0.2">
      <c r="A47" s="86" t="s">
        <v>55</v>
      </c>
      <c r="B47" s="111"/>
      <c r="C47" s="111"/>
      <c r="E47" s="112">
        <v>5</v>
      </c>
      <c r="F47" s="113" t="s">
        <v>12</v>
      </c>
      <c r="G47" s="112" t="s">
        <v>54</v>
      </c>
      <c r="H47" s="112" t="s">
        <v>10</v>
      </c>
    </row>
    <row r="48" spans="1:18" s="7" customFormat="1" ht="12.75" hidden="1" customHeight="1" x14ac:dyDescent="0.2">
      <c r="A48" s="86" t="s">
        <v>56</v>
      </c>
      <c r="B48" s="111"/>
      <c r="C48" s="111"/>
      <c r="E48" s="112">
        <v>5</v>
      </c>
      <c r="F48" s="113" t="s">
        <v>12</v>
      </c>
      <c r="G48" s="112" t="s">
        <v>54</v>
      </c>
      <c r="H48" s="112" t="s">
        <v>15</v>
      </c>
    </row>
    <row r="49" spans="1:18" s="7" customFormat="1" ht="12.75" hidden="1" customHeight="1" x14ac:dyDescent="0.2">
      <c r="A49" s="86" t="s">
        <v>57</v>
      </c>
      <c r="B49" s="111"/>
      <c r="C49" s="111"/>
      <c r="E49" s="112">
        <v>5</v>
      </c>
      <c r="F49" s="113" t="s">
        <v>12</v>
      </c>
      <c r="G49" s="112" t="s">
        <v>54</v>
      </c>
      <c r="H49" s="112" t="s">
        <v>17</v>
      </c>
    </row>
    <row r="50" spans="1:18" s="7" customFormat="1" ht="12.75" hidden="1" customHeight="1" x14ac:dyDescent="0.2">
      <c r="A50" s="86" t="s">
        <v>66</v>
      </c>
      <c r="B50" s="111"/>
      <c r="C50" s="111"/>
      <c r="E50" s="112">
        <v>5</v>
      </c>
      <c r="F50" s="113" t="s">
        <v>12</v>
      </c>
      <c r="G50" s="112" t="s">
        <v>67</v>
      </c>
      <c r="H50" s="112" t="s">
        <v>8</v>
      </c>
    </row>
    <row r="51" spans="1:18" s="7" customFormat="1" ht="12.75" hidden="1" customHeight="1" x14ac:dyDescent="0.2">
      <c r="A51" s="86" t="s">
        <v>61</v>
      </c>
      <c r="B51" s="111"/>
      <c r="C51" s="111"/>
      <c r="E51" s="112">
        <v>5</v>
      </c>
      <c r="F51" s="113" t="s">
        <v>12</v>
      </c>
      <c r="G51" s="112" t="s">
        <v>59</v>
      </c>
      <c r="H51" s="112" t="s">
        <v>8</v>
      </c>
    </row>
    <row r="52" spans="1:18" s="7" customFormat="1" ht="12.75" hidden="1" customHeight="1" x14ac:dyDescent="0.2">
      <c r="A52" s="86" t="s">
        <v>62</v>
      </c>
      <c r="B52" s="111"/>
      <c r="C52" s="111"/>
      <c r="E52" s="112">
        <v>5</v>
      </c>
      <c r="F52" s="113" t="s">
        <v>12</v>
      </c>
      <c r="G52" s="112" t="s">
        <v>59</v>
      </c>
      <c r="H52" s="112" t="s">
        <v>10</v>
      </c>
    </row>
    <row r="53" spans="1:18" s="7" customFormat="1" ht="12.75" hidden="1" customHeight="1" x14ac:dyDescent="0.2">
      <c r="A53" s="86" t="s">
        <v>63</v>
      </c>
      <c r="B53" s="111"/>
      <c r="C53" s="111"/>
      <c r="E53" s="112">
        <v>5</v>
      </c>
      <c r="F53" s="113" t="s">
        <v>12</v>
      </c>
      <c r="G53" s="112" t="s">
        <v>59</v>
      </c>
      <c r="H53" s="112" t="s">
        <v>64</v>
      </c>
    </row>
    <row r="54" spans="1:18" s="7" customFormat="1" ht="12.75" hidden="1" customHeight="1" x14ac:dyDescent="0.2">
      <c r="A54" s="86" t="s">
        <v>65</v>
      </c>
      <c r="B54" s="111"/>
      <c r="C54" s="111"/>
      <c r="E54" s="112">
        <v>5</v>
      </c>
      <c r="F54" s="113" t="s">
        <v>12</v>
      </c>
      <c r="G54" s="112" t="s">
        <v>59</v>
      </c>
      <c r="H54" s="112" t="s">
        <v>19</v>
      </c>
    </row>
    <row r="55" spans="1:18" s="7" customFormat="1" ht="12.75" customHeight="1" x14ac:dyDescent="0.2">
      <c r="A55" s="86" t="s">
        <v>68</v>
      </c>
      <c r="B55" s="111"/>
      <c r="C55" s="111"/>
      <c r="E55" s="112">
        <v>5</v>
      </c>
      <c r="F55" s="113" t="s">
        <v>12</v>
      </c>
      <c r="G55" s="112" t="s">
        <v>67</v>
      </c>
      <c r="H55" s="112" t="s">
        <v>10</v>
      </c>
      <c r="R55" s="192"/>
    </row>
    <row r="56" spans="1:18" s="7" customFormat="1" ht="12.75" customHeight="1" x14ac:dyDescent="0.2">
      <c r="A56" s="86" t="s">
        <v>69</v>
      </c>
      <c r="B56" s="111"/>
      <c r="C56" s="111"/>
      <c r="E56" s="112">
        <v>5</v>
      </c>
      <c r="F56" s="113" t="s">
        <v>12</v>
      </c>
      <c r="G56" s="112" t="s">
        <v>70</v>
      </c>
      <c r="H56" s="112" t="s">
        <v>15</v>
      </c>
      <c r="R56" s="192"/>
    </row>
    <row r="57" spans="1:18" s="7" customFormat="1" ht="12.75" hidden="1" customHeight="1" x14ac:dyDescent="0.2">
      <c r="A57" s="86" t="s">
        <v>72</v>
      </c>
      <c r="B57" s="111"/>
      <c r="C57" s="111"/>
      <c r="E57" s="112">
        <v>5</v>
      </c>
      <c r="F57" s="113" t="s">
        <v>12</v>
      </c>
      <c r="G57" s="112" t="s">
        <v>70</v>
      </c>
      <c r="H57" s="112" t="s">
        <v>49</v>
      </c>
      <c r="R57" s="192"/>
    </row>
    <row r="58" spans="1:18" s="7" customFormat="1" ht="12.75" hidden="1" customHeight="1" x14ac:dyDescent="0.2">
      <c r="A58" s="86" t="s">
        <v>73</v>
      </c>
      <c r="B58" s="111"/>
      <c r="C58" s="111"/>
      <c r="E58" s="112">
        <v>5</v>
      </c>
      <c r="F58" s="113" t="s">
        <v>12</v>
      </c>
      <c r="G58" s="112" t="s">
        <v>74</v>
      </c>
      <c r="H58" s="112" t="s">
        <v>64</v>
      </c>
      <c r="R58" s="192"/>
    </row>
    <row r="59" spans="1:18" s="7" customFormat="1" ht="12.75" hidden="1" customHeight="1" x14ac:dyDescent="0.2">
      <c r="A59" s="86" t="s">
        <v>75</v>
      </c>
      <c r="B59" s="111"/>
      <c r="C59" s="111"/>
      <c r="E59" s="112">
        <v>5</v>
      </c>
      <c r="F59" s="113" t="s">
        <v>12</v>
      </c>
      <c r="G59" s="112" t="s">
        <v>74</v>
      </c>
      <c r="H59" s="112" t="s">
        <v>19</v>
      </c>
      <c r="R59" s="192"/>
    </row>
    <row r="60" spans="1:18" s="7" customFormat="1" ht="12.75" hidden="1" customHeight="1" x14ac:dyDescent="0.2">
      <c r="A60" s="86" t="s">
        <v>77</v>
      </c>
      <c r="B60" s="111"/>
      <c r="C60" s="111"/>
      <c r="E60" s="112">
        <v>5</v>
      </c>
      <c r="F60" s="113" t="s">
        <v>12</v>
      </c>
      <c r="G60" s="112" t="s">
        <v>74</v>
      </c>
      <c r="H60" s="112" t="s">
        <v>49</v>
      </c>
      <c r="R60" s="192"/>
    </row>
    <row r="61" spans="1:18" s="7" customFormat="1" ht="12.75" customHeight="1" x14ac:dyDescent="0.2">
      <c r="A61" s="86" t="s">
        <v>78</v>
      </c>
      <c r="B61" s="111"/>
      <c r="C61" s="111"/>
      <c r="E61" s="112">
        <v>5</v>
      </c>
      <c r="F61" s="113" t="s">
        <v>12</v>
      </c>
      <c r="G61" s="112" t="s">
        <v>79</v>
      </c>
      <c r="H61" s="112" t="s">
        <v>10</v>
      </c>
      <c r="R61" s="192">
        <v>50000</v>
      </c>
    </row>
    <row r="62" spans="1:18" s="7" customFormat="1" ht="12.75" customHeight="1" x14ac:dyDescent="0.2">
      <c r="A62" s="86" t="s">
        <v>80</v>
      </c>
      <c r="B62" s="111"/>
      <c r="C62" s="111"/>
      <c r="E62" s="112">
        <v>5</v>
      </c>
      <c r="F62" s="113" t="s">
        <v>12</v>
      </c>
      <c r="G62" s="112" t="s">
        <v>79</v>
      </c>
      <c r="H62" s="112" t="s">
        <v>15</v>
      </c>
      <c r="R62" s="7">
        <f>6000000+8000000</f>
        <v>14000000</v>
      </c>
    </row>
    <row r="63" spans="1:18" s="7" customFormat="1" ht="12.75" hidden="1" customHeight="1" x14ac:dyDescent="0.2">
      <c r="A63" s="86" t="s">
        <v>83</v>
      </c>
      <c r="B63" s="111"/>
      <c r="C63" s="111"/>
      <c r="E63" s="112">
        <v>5</v>
      </c>
      <c r="F63" s="113" t="s">
        <v>12</v>
      </c>
      <c r="G63" s="112" t="s">
        <v>84</v>
      </c>
      <c r="H63" s="113" t="s">
        <v>8</v>
      </c>
    </row>
    <row r="64" spans="1:18" s="7" customFormat="1" ht="12.75" hidden="1" customHeight="1" x14ac:dyDescent="0.2">
      <c r="A64" s="86" t="s">
        <v>86</v>
      </c>
      <c r="B64" s="111"/>
      <c r="C64" s="111"/>
      <c r="E64" s="112">
        <v>5</v>
      </c>
      <c r="F64" s="113" t="s">
        <v>12</v>
      </c>
      <c r="G64" s="112" t="s">
        <v>84</v>
      </c>
      <c r="H64" s="113" t="s">
        <v>15</v>
      </c>
    </row>
    <row r="65" spans="1:18" s="7" customFormat="1" ht="12.75" hidden="1" customHeight="1" x14ac:dyDescent="0.2">
      <c r="A65" s="86" t="s">
        <v>156</v>
      </c>
      <c r="B65" s="111"/>
      <c r="C65" s="111"/>
      <c r="E65" s="112">
        <v>5</v>
      </c>
      <c r="F65" s="113" t="s">
        <v>12</v>
      </c>
      <c r="G65" s="114" t="s">
        <v>59</v>
      </c>
      <c r="H65" s="128" t="s">
        <v>17</v>
      </c>
    </row>
    <row r="66" spans="1:18" s="7" customFormat="1" ht="12.75" hidden="1" customHeight="1" x14ac:dyDescent="0.2">
      <c r="A66" s="86" t="s">
        <v>312</v>
      </c>
      <c r="B66" s="111"/>
      <c r="C66" s="111"/>
      <c r="E66" s="112">
        <v>5</v>
      </c>
      <c r="F66" s="113" t="s">
        <v>12</v>
      </c>
      <c r="G66" s="114" t="s">
        <v>59</v>
      </c>
      <c r="H66" s="128" t="s">
        <v>60</v>
      </c>
    </row>
    <row r="67" spans="1:18" s="7" customFormat="1" ht="12.75" customHeight="1" x14ac:dyDescent="0.2">
      <c r="A67" s="86" t="s">
        <v>81</v>
      </c>
      <c r="B67" s="111"/>
      <c r="C67" s="111"/>
      <c r="E67" s="112">
        <v>5</v>
      </c>
      <c r="F67" s="113" t="s">
        <v>12</v>
      </c>
      <c r="G67" s="112" t="s">
        <v>59</v>
      </c>
      <c r="H67" s="113" t="s">
        <v>82</v>
      </c>
      <c r="R67" s="7">
        <f>20000000+281800000+10000000+4000000</f>
        <v>315800000</v>
      </c>
    </row>
    <row r="68" spans="1:18" s="7" customFormat="1" ht="12.75" customHeight="1" x14ac:dyDescent="0.2">
      <c r="A68" s="86" t="s">
        <v>260</v>
      </c>
      <c r="B68" s="111"/>
      <c r="C68" s="111"/>
      <c r="E68" s="112">
        <v>5</v>
      </c>
      <c r="F68" s="113" t="s">
        <v>12</v>
      </c>
      <c r="G68" s="134">
        <v>99</v>
      </c>
      <c r="H68" s="135">
        <v>990</v>
      </c>
      <c r="R68" s="7">
        <v>60380894.399999999</v>
      </c>
    </row>
    <row r="69" spans="1:18" s="7" customFormat="1" ht="18.95" customHeight="1" x14ac:dyDescent="0.2">
      <c r="A69" s="314" t="s">
        <v>191</v>
      </c>
      <c r="B69" s="314"/>
      <c r="C69" s="314"/>
      <c r="J69" s="161">
        <f>SUM(J37:J68)</f>
        <v>0</v>
      </c>
      <c r="K69" s="162"/>
      <c r="L69" s="161">
        <f>SUM(L37:L68)</f>
        <v>0</v>
      </c>
      <c r="M69" s="36"/>
      <c r="N69" s="161">
        <f>SUM(N37:N68)</f>
        <v>0</v>
      </c>
      <c r="O69" s="36"/>
      <c r="P69" s="161">
        <f>SUM(P37:P68)</f>
        <v>0</v>
      </c>
      <c r="R69" s="22">
        <f>SUM(R37:R68)</f>
        <v>423398894.39999998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86" t="s">
        <v>92</v>
      </c>
      <c r="B72" s="111"/>
      <c r="C72" s="111"/>
      <c r="E72" s="112">
        <v>1</v>
      </c>
      <c r="F72" s="113" t="s">
        <v>93</v>
      </c>
      <c r="G72" s="112" t="s">
        <v>7</v>
      </c>
      <c r="H72" s="112" t="s">
        <v>8</v>
      </c>
    </row>
    <row r="73" spans="1:18" s="7" customFormat="1" ht="12.75" hidden="1" customHeight="1" x14ac:dyDescent="0.2">
      <c r="A73" s="86" t="s">
        <v>94</v>
      </c>
      <c r="B73" s="111"/>
      <c r="C73" s="111"/>
      <c r="E73" s="112">
        <v>1</v>
      </c>
      <c r="F73" s="113" t="s">
        <v>93</v>
      </c>
      <c r="G73" s="112" t="s">
        <v>34</v>
      </c>
      <c r="H73" s="112" t="s">
        <v>8</v>
      </c>
    </row>
    <row r="74" spans="1:18" s="7" customFormat="1" ht="12.75" hidden="1" customHeight="1" x14ac:dyDescent="0.2">
      <c r="A74" s="86" t="s">
        <v>96</v>
      </c>
      <c r="B74" s="111"/>
      <c r="C74" s="111"/>
      <c r="E74" s="112">
        <v>1</v>
      </c>
      <c r="F74" s="113" t="s">
        <v>93</v>
      </c>
      <c r="G74" s="112" t="s">
        <v>54</v>
      </c>
      <c r="H74" s="114" t="s">
        <v>10</v>
      </c>
      <c r="R74" s="7">
        <v>180000</v>
      </c>
    </row>
    <row r="75" spans="1:18" s="7" customFormat="1" ht="12.75" hidden="1" customHeight="1" x14ac:dyDescent="0.2">
      <c r="A75" s="86" t="s">
        <v>98</v>
      </c>
      <c r="B75" s="116"/>
      <c r="C75" s="116"/>
      <c r="E75" s="112">
        <v>1</v>
      </c>
      <c r="F75" s="113" t="s">
        <v>93</v>
      </c>
      <c r="G75" s="112" t="s">
        <v>54</v>
      </c>
      <c r="H75" s="112" t="s">
        <v>15</v>
      </c>
    </row>
    <row r="76" spans="1:18" s="7" customFormat="1" ht="12.75" hidden="1" customHeight="1" x14ac:dyDescent="0.2">
      <c r="A76" s="86" t="s">
        <v>100</v>
      </c>
      <c r="B76" s="111"/>
      <c r="C76" s="111"/>
      <c r="E76" s="112">
        <v>1</v>
      </c>
      <c r="F76" s="113" t="s">
        <v>93</v>
      </c>
      <c r="G76" s="112" t="s">
        <v>54</v>
      </c>
      <c r="H76" s="112" t="s">
        <v>19</v>
      </c>
    </row>
    <row r="77" spans="1:18" s="7" customFormat="1" ht="12.75" hidden="1" customHeight="1" x14ac:dyDescent="0.2">
      <c r="A77" s="86" t="s">
        <v>101</v>
      </c>
      <c r="B77" s="111"/>
      <c r="C77" s="111"/>
      <c r="E77" s="112">
        <v>1</v>
      </c>
      <c r="F77" s="113" t="s">
        <v>93</v>
      </c>
      <c r="G77" s="112" t="s">
        <v>54</v>
      </c>
      <c r="H77" s="112" t="s">
        <v>102</v>
      </c>
    </row>
    <row r="78" spans="1:18" s="7" customFormat="1" ht="12.75" customHeight="1" x14ac:dyDescent="0.2">
      <c r="A78" s="86" t="s">
        <v>105</v>
      </c>
      <c r="B78" s="111"/>
      <c r="C78" s="111"/>
      <c r="D78" s="113"/>
      <c r="E78" s="112">
        <v>1</v>
      </c>
      <c r="F78" s="113" t="s">
        <v>93</v>
      </c>
      <c r="G78" s="112" t="s">
        <v>54</v>
      </c>
      <c r="H78" s="114" t="s">
        <v>49</v>
      </c>
    </row>
    <row r="79" spans="1:18" s="7" customFormat="1" ht="12.75" hidden="1" customHeight="1" x14ac:dyDescent="0.2">
      <c r="A79" s="86" t="s">
        <v>106</v>
      </c>
      <c r="B79" s="111"/>
      <c r="C79" s="111"/>
      <c r="D79" s="113"/>
      <c r="E79" s="112">
        <v>1</v>
      </c>
      <c r="F79" s="113" t="s">
        <v>93</v>
      </c>
      <c r="G79" s="114" t="s">
        <v>67</v>
      </c>
      <c r="H79" s="114" t="s">
        <v>8</v>
      </c>
    </row>
    <row r="80" spans="1:18" s="7" customFormat="1" ht="12.75" customHeight="1" x14ac:dyDescent="0.2">
      <c r="A80" s="86" t="s">
        <v>283</v>
      </c>
      <c r="B80" s="111"/>
      <c r="C80" s="111"/>
      <c r="D80" s="113"/>
      <c r="E80" s="112">
        <v>1</v>
      </c>
      <c r="F80" s="113" t="s">
        <v>93</v>
      </c>
      <c r="G80" s="114" t="s">
        <v>93</v>
      </c>
      <c r="H80" s="114" t="s">
        <v>8</v>
      </c>
    </row>
    <row r="81" spans="1:18" s="7" customFormat="1" ht="12.75" hidden="1" customHeight="1" x14ac:dyDescent="0.2">
      <c r="A81" s="86" t="s">
        <v>107</v>
      </c>
      <c r="B81" s="111"/>
      <c r="C81" s="111"/>
      <c r="D81" s="113"/>
      <c r="E81" s="112">
        <v>1</v>
      </c>
      <c r="F81" s="113" t="s">
        <v>93</v>
      </c>
      <c r="G81" s="112" t="s">
        <v>59</v>
      </c>
      <c r="H81" s="114" t="s">
        <v>49</v>
      </c>
    </row>
    <row r="82" spans="1:18" s="7" customFormat="1" ht="12.75" hidden="1" customHeight="1" x14ac:dyDescent="0.2">
      <c r="A82" s="86" t="s">
        <v>271</v>
      </c>
      <c r="B82" s="111"/>
      <c r="C82" s="111"/>
      <c r="D82" s="113"/>
      <c r="E82" s="112">
        <v>1</v>
      </c>
      <c r="F82" s="128" t="s">
        <v>272</v>
      </c>
      <c r="G82" s="114" t="s">
        <v>7</v>
      </c>
      <c r="H82" s="114" t="s">
        <v>10</v>
      </c>
    </row>
    <row r="83" spans="1:18" s="27" customFormat="1" ht="18.95" customHeight="1" x14ac:dyDescent="0.2">
      <c r="A83" s="102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180000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424701410.44999999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54" t="s">
        <v>276</v>
      </c>
      <c r="D88" s="33"/>
      <c r="E88" s="32"/>
      <c r="G88" s="31"/>
      <c r="I88" s="31"/>
      <c r="M88" s="47"/>
      <c r="N88" s="311" t="s">
        <v>135</v>
      </c>
      <c r="O88" s="311"/>
      <c r="P88" s="311"/>
    </row>
    <row r="89" spans="1:18" ht="9.9499999999999993" customHeight="1" x14ac:dyDescent="0.2">
      <c r="A89" s="46"/>
      <c r="C89" s="154"/>
      <c r="D89" s="33"/>
      <c r="E89" s="32"/>
      <c r="G89" s="31"/>
      <c r="I89" s="31"/>
      <c r="M89" s="47"/>
      <c r="N89" s="151"/>
      <c r="O89" s="151"/>
      <c r="P89" s="151"/>
    </row>
    <row r="90" spans="1:18" x14ac:dyDescent="0.2">
      <c r="A90" s="50"/>
      <c r="C90" s="154"/>
      <c r="D90" s="33"/>
      <c r="E90" s="51"/>
      <c r="G90" s="31"/>
      <c r="I90" s="31"/>
      <c r="M90" s="154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55" t="s">
        <v>291</v>
      </c>
      <c r="D92" s="55"/>
      <c r="E92" s="56"/>
      <c r="G92" s="31"/>
      <c r="I92" s="31"/>
      <c r="M92" s="57"/>
      <c r="N92" s="312" t="s">
        <v>137</v>
      </c>
      <c r="O92" s="312"/>
      <c r="P92" s="312"/>
    </row>
    <row r="93" spans="1:18" x14ac:dyDescent="0.2">
      <c r="A93" s="52"/>
      <c r="C93" s="154" t="s">
        <v>269</v>
      </c>
      <c r="D93" s="31"/>
      <c r="E93" s="32"/>
      <c r="G93" s="31"/>
      <c r="I93" s="31"/>
      <c r="M93" s="33"/>
      <c r="N93" s="313" t="s">
        <v>139</v>
      </c>
      <c r="O93" s="313"/>
      <c r="P93" s="313"/>
    </row>
  </sheetData>
  <customSheetViews>
    <customSheetView guid="{1998FCB8-1FEB-4076-ACE6-A225EE4366B3}" printArea="1" hiddenRows="1" view="pageBreakPreview">
      <pane xSplit="1" ySplit="14" topLeftCell="B62" activePane="bottomRight" state="frozen"/>
      <selection pane="bottomRight" activeCell="R62" sqref="R62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DE3A1FFE-44A0-41BD-98AB-2A2226968564}" printArea="1" hiddenRows="1" view="pageBreakPreview">
      <pane xSplit="1" ySplit="14" topLeftCell="B68" activePane="bottomRight" state="frozen"/>
      <selection pane="bottomRight" activeCell="F78" sqref="F78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printArea="1" hiddenRows="1" view="pageBreakPreview">
      <pane xSplit="1" ySplit="14" topLeftCell="B70" activePane="bottomRight" state="frozen"/>
      <selection pane="bottomRight" activeCell="R74" sqref="R74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7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8"/>
  <sheetViews>
    <sheetView view="pageBreakPreview" zoomScaleSheetLayoutView="100" workbookViewId="0">
      <pane xSplit="4" ySplit="15" topLeftCell="E113" activePane="bottomRight" state="frozen"/>
      <selection pane="topRight" activeCell="E1" sqref="E1"/>
      <selection pane="bottomLeft" activeCell="A16" sqref="A16"/>
      <selection pane="bottomRight" activeCell="D163" sqref="D16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441406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193</v>
      </c>
      <c r="H4" s="3"/>
      <c r="I4" s="3"/>
      <c r="R4" s="4" t="s">
        <v>192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334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85"/>
      <c r="B12" s="85"/>
      <c r="C12" s="85"/>
      <c r="D12" s="9"/>
      <c r="E12" s="85"/>
      <c r="F12" s="85"/>
      <c r="G12" s="85"/>
      <c r="H12" s="8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A13" s="309" t="s">
        <v>3</v>
      </c>
      <c r="B13" s="309"/>
      <c r="C13" s="309"/>
      <c r="D13" s="7"/>
      <c r="E13" s="310" t="s">
        <v>4</v>
      </c>
      <c r="F13" s="310"/>
      <c r="G13" s="310"/>
      <c r="H13" s="310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36">
        <v>19968190.059999999</v>
      </c>
      <c r="K16" s="13"/>
      <c r="L16" s="36">
        <v>10701246.1</v>
      </c>
      <c r="M16" s="36"/>
      <c r="N16" s="36">
        <f>P16-L16</f>
        <v>11583833.9</v>
      </c>
      <c r="O16" s="36"/>
      <c r="P16" s="36">
        <v>22285080</v>
      </c>
      <c r="Q16" s="36"/>
      <c r="R16" s="189">
        <v>22759756.18</v>
      </c>
    </row>
    <row r="17" spans="1:18" s="7" customFormat="1" ht="12.75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6">
        <v>4218262.3099999996</v>
      </c>
      <c r="K17" s="39"/>
      <c r="L17" s="36">
        <v>1890138.96</v>
      </c>
      <c r="M17" s="36"/>
      <c r="N17" s="36">
        <f t="shared" ref="N17:N40" si="0">P17-L17</f>
        <v>2544701.04</v>
      </c>
      <c r="O17" s="36"/>
      <c r="P17" s="36">
        <v>4434840</v>
      </c>
      <c r="Q17" s="36"/>
      <c r="R17" s="189">
        <v>4633380</v>
      </c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36">
        <v>965727.27</v>
      </c>
      <c r="K18" s="13"/>
      <c r="L18" s="36">
        <v>464000</v>
      </c>
      <c r="M18" s="36"/>
      <c r="N18" s="36">
        <f t="shared" si="0"/>
        <v>544000</v>
      </c>
      <c r="O18" s="36"/>
      <c r="P18" s="36">
        <v>1008000</v>
      </c>
      <c r="Q18" s="36"/>
      <c r="R18" s="189">
        <v>1008000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36">
        <v>1352500</v>
      </c>
      <c r="K19" s="13"/>
      <c r="L19" s="36">
        <v>723000</v>
      </c>
      <c r="M19" s="36"/>
      <c r="N19" s="36">
        <f t="shared" si="0"/>
        <v>825000</v>
      </c>
      <c r="O19" s="36"/>
      <c r="P19" s="36">
        <v>1548000</v>
      </c>
      <c r="Q19" s="36"/>
      <c r="R19" s="189">
        <v>1548000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36">
        <v>8500</v>
      </c>
      <c r="K20" s="13"/>
      <c r="L20" s="36"/>
      <c r="M20" s="36"/>
      <c r="N20" s="36">
        <f t="shared" si="0"/>
        <v>280000</v>
      </c>
      <c r="O20" s="36"/>
      <c r="P20" s="36">
        <v>280000</v>
      </c>
      <c r="Q20" s="36"/>
      <c r="R20" s="189">
        <v>387000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36">
        <v>234000</v>
      </c>
      <c r="K21" s="13"/>
      <c r="L21" s="36">
        <v>240000</v>
      </c>
      <c r="M21" s="36"/>
      <c r="N21" s="36">
        <f t="shared" si="0"/>
        <v>12000</v>
      </c>
      <c r="O21" s="36"/>
      <c r="P21" s="36">
        <v>252000</v>
      </c>
      <c r="Q21" s="36"/>
      <c r="R21" s="189">
        <v>252000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36"/>
      <c r="K22" s="13"/>
      <c r="L22" s="36"/>
      <c r="M22" s="36"/>
      <c r="N22" s="36">
        <f t="shared" si="0"/>
        <v>0</v>
      </c>
      <c r="O22" s="36"/>
      <c r="P22" s="36"/>
      <c r="Q22" s="36"/>
      <c r="R22" s="36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36"/>
      <c r="K23" s="13"/>
      <c r="L23" s="36"/>
      <c r="M23" s="36"/>
      <c r="N23" s="36">
        <f t="shared" si="0"/>
        <v>0</v>
      </c>
      <c r="O23" s="36"/>
      <c r="P23" s="36"/>
      <c r="Q23" s="36"/>
      <c r="R23" s="36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36"/>
      <c r="K24" s="13"/>
      <c r="L24" s="36"/>
      <c r="M24" s="36"/>
      <c r="N24" s="36">
        <f t="shared" si="0"/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36"/>
      <c r="K25" s="13"/>
      <c r="L25" s="36"/>
      <c r="M25" s="36"/>
      <c r="N25" s="36">
        <f t="shared" si="0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36"/>
      <c r="K26" s="13"/>
      <c r="L26" s="36"/>
      <c r="M26" s="36"/>
      <c r="N26" s="36">
        <f t="shared" si="0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36"/>
      <c r="K27" s="13"/>
      <c r="L27" s="36">
        <v>149000</v>
      </c>
      <c r="M27" s="36"/>
      <c r="N27" s="36"/>
      <c r="O27" s="36"/>
      <c r="P27" s="36">
        <v>149000</v>
      </c>
      <c r="Q27" s="36"/>
      <c r="R27" s="36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0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0"/>
        <v>0</v>
      </c>
      <c r="O29" s="36"/>
      <c r="P29" s="36"/>
      <c r="Q29" s="36"/>
      <c r="R29" s="36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2014224.6</v>
      </c>
      <c r="K30" s="36"/>
      <c r="L30" s="36"/>
      <c r="M30" s="36"/>
      <c r="N30" s="36">
        <f>P30-L30</f>
        <v>2226660</v>
      </c>
      <c r="O30" s="36"/>
      <c r="P30" s="36">
        <v>2226660</v>
      </c>
      <c r="Q30" s="36"/>
      <c r="R30" s="189">
        <v>2284390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213000</v>
      </c>
      <c r="K31" s="36"/>
      <c r="L31" s="36"/>
      <c r="M31" s="36"/>
      <c r="N31" s="36">
        <f t="shared" si="0"/>
        <v>210000</v>
      </c>
      <c r="O31" s="36"/>
      <c r="P31" s="36">
        <v>210000</v>
      </c>
      <c r="Q31" s="36"/>
      <c r="R31" s="189">
        <v>210000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36">
        <v>2017122</v>
      </c>
      <c r="K32" s="13"/>
      <c r="L32" s="36">
        <v>2151595</v>
      </c>
      <c r="M32" s="36"/>
      <c r="N32" s="36">
        <f>P32-L32</f>
        <v>75065</v>
      </c>
      <c r="O32" s="36"/>
      <c r="P32" s="36">
        <v>2226660</v>
      </c>
      <c r="Q32" s="36"/>
      <c r="R32" s="189">
        <v>2284390</v>
      </c>
    </row>
    <row r="33" spans="1:21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2838627.15</v>
      </c>
      <c r="K33" s="36"/>
      <c r="L33" s="36">
        <v>1549267.71</v>
      </c>
      <c r="M33" s="36"/>
      <c r="N33" s="36">
        <f t="shared" si="0"/>
        <v>1657122.69</v>
      </c>
      <c r="O33" s="36"/>
      <c r="P33" s="36">
        <v>3206390.4</v>
      </c>
      <c r="Q33" s="36"/>
      <c r="R33" s="189">
        <v>3289521.6</v>
      </c>
    </row>
    <row r="34" spans="1:21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47700</v>
      </c>
      <c r="K34" s="36"/>
      <c r="L34" s="36">
        <v>24600</v>
      </c>
      <c r="M34" s="36"/>
      <c r="N34" s="36">
        <f t="shared" si="0"/>
        <v>25800</v>
      </c>
      <c r="O34" s="36"/>
      <c r="P34" s="36">
        <v>50400</v>
      </c>
      <c r="Q34" s="36"/>
      <c r="R34" s="189">
        <v>50400</v>
      </c>
    </row>
    <row r="35" spans="1:21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149004.19</v>
      </c>
      <c r="K35" s="36"/>
      <c r="L35" s="36">
        <v>104312.02</v>
      </c>
      <c r="M35" s="36"/>
      <c r="N35" s="36">
        <f t="shared" si="0"/>
        <v>124210.58</v>
      </c>
      <c r="O35" s="36"/>
      <c r="P35" s="36">
        <v>228522.6</v>
      </c>
      <c r="Q35" s="36"/>
      <c r="R35" s="189">
        <v>301584.15000000002</v>
      </c>
    </row>
    <row r="36" spans="1:21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47465.73</v>
      </c>
      <c r="K36" s="36"/>
      <c r="L36" s="36">
        <v>24600</v>
      </c>
      <c r="M36" s="36"/>
      <c r="N36" s="36">
        <f t="shared" si="0"/>
        <v>25800</v>
      </c>
      <c r="O36" s="36"/>
      <c r="P36" s="36">
        <v>50400</v>
      </c>
      <c r="Q36" s="36"/>
      <c r="R36" s="189">
        <v>50400</v>
      </c>
    </row>
    <row r="37" spans="1:21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>
        <f t="shared" si="0"/>
        <v>0</v>
      </c>
      <c r="O37" s="36"/>
      <c r="P37" s="36"/>
      <c r="Q37" s="36"/>
      <c r="R37" s="36"/>
    </row>
    <row r="38" spans="1:21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>
        <f t="shared" si="0"/>
        <v>0</v>
      </c>
      <c r="O38" s="36"/>
      <c r="P38" s="36"/>
      <c r="Q38" s="36"/>
      <c r="R38" s="36"/>
    </row>
    <row r="39" spans="1:21" s="7" customFormat="1" ht="12.7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>
        <v>1680420.23</v>
      </c>
      <c r="K39" s="36"/>
      <c r="L39" s="36"/>
      <c r="M39" s="36"/>
      <c r="N39" s="36">
        <f t="shared" si="0"/>
        <v>197197.92</v>
      </c>
      <c r="O39" s="36"/>
      <c r="P39" s="36">
        <v>197197.92</v>
      </c>
      <c r="Q39" s="36"/>
      <c r="R39" s="36"/>
    </row>
    <row r="40" spans="1:21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554403.61</v>
      </c>
      <c r="K40" s="36"/>
      <c r="L40" s="36"/>
      <c r="M40" s="36"/>
      <c r="N40" s="36">
        <f t="shared" si="0"/>
        <v>210000</v>
      </c>
      <c r="O40" s="36"/>
      <c r="P40" s="36">
        <v>210000</v>
      </c>
      <c r="Q40" s="36"/>
      <c r="R40" s="36">
        <v>210000</v>
      </c>
    </row>
    <row r="41" spans="1:21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21" s="7" customFormat="1" ht="18.95" customHeight="1" x14ac:dyDescent="0.2">
      <c r="A42" s="63" t="s">
        <v>36</v>
      </c>
      <c r="B42" s="26"/>
      <c r="C42" s="26"/>
      <c r="J42" s="161">
        <f>SUM(J16:J41)</f>
        <v>36309147.149999991</v>
      </c>
      <c r="K42" s="162"/>
      <c r="L42" s="161">
        <f>SUM(L16:L41)</f>
        <v>18021759.789999999</v>
      </c>
      <c r="M42" s="36"/>
      <c r="N42" s="161">
        <f>SUM(N16:N41)</f>
        <v>20541391.130000003</v>
      </c>
      <c r="O42" s="36"/>
      <c r="P42" s="161">
        <f>SUM(P16:P41)</f>
        <v>38563150.920000002</v>
      </c>
      <c r="Q42" s="36"/>
      <c r="R42" s="161">
        <f>SUM(R16:R41)</f>
        <v>39268821.93</v>
      </c>
      <c r="U42" s="7">
        <v>42453010.25</v>
      </c>
    </row>
    <row r="43" spans="1:21" s="7" customFormat="1" ht="1.5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21" s="7" customFormat="1" ht="12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  <c r="U44" s="7">
        <f>U42-R42</f>
        <v>3184188.3200000003</v>
      </c>
    </row>
    <row r="45" spans="1:21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36"/>
      <c r="K45" s="36"/>
      <c r="L45" s="36">
        <v>30800</v>
      </c>
      <c r="M45" s="36"/>
      <c r="N45" s="36">
        <f t="shared" ref="N45:N107" si="1">P45-L45</f>
        <v>219200</v>
      </c>
      <c r="O45" s="36"/>
      <c r="P45" s="36">
        <v>250000</v>
      </c>
      <c r="Q45" s="36"/>
      <c r="R45" s="189">
        <v>250000</v>
      </c>
    </row>
    <row r="46" spans="1:21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/>
      <c r="O46" s="36"/>
      <c r="P46" s="36"/>
      <c r="Q46" s="36"/>
      <c r="R46" s="36"/>
    </row>
    <row r="47" spans="1:21" s="7" customFormat="1" ht="12.75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/>
      <c r="K47" s="36"/>
      <c r="L47" s="36">
        <v>465127.84</v>
      </c>
      <c r="M47" s="36"/>
      <c r="N47" s="36">
        <f t="shared" si="1"/>
        <v>2034872.16</v>
      </c>
      <c r="O47" s="36"/>
      <c r="P47" s="36">
        <v>2500000</v>
      </c>
      <c r="Q47" s="36"/>
      <c r="R47" s="36">
        <v>2500000</v>
      </c>
    </row>
    <row r="48" spans="1:21" s="7" customFormat="1" ht="12.75" hidden="1" customHeight="1" x14ac:dyDescent="0.2">
      <c r="A48" s="86" t="s">
        <v>142</v>
      </c>
      <c r="B48" s="111"/>
      <c r="C48" s="111"/>
      <c r="D48" s="112"/>
      <c r="E48" s="112">
        <v>5</v>
      </c>
      <c r="F48" s="113" t="s">
        <v>12</v>
      </c>
      <c r="G48" s="112" t="s">
        <v>12</v>
      </c>
      <c r="H48" s="112" t="s">
        <v>10</v>
      </c>
      <c r="J48" s="36"/>
      <c r="K48" s="36"/>
      <c r="L48" s="36"/>
      <c r="M48" s="36"/>
      <c r="N48" s="36">
        <f t="shared" si="1"/>
        <v>0</v>
      </c>
      <c r="O48" s="36"/>
      <c r="P48" s="36"/>
      <c r="Q48" s="36"/>
      <c r="R48" s="36"/>
    </row>
    <row r="49" spans="1:18" s="7" customFormat="1" ht="12.75" hidden="1" customHeight="1" x14ac:dyDescent="0.2">
      <c r="A49" s="86" t="s">
        <v>41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10</v>
      </c>
      <c r="J49" s="36"/>
      <c r="K49" s="36"/>
      <c r="L49" s="36"/>
      <c r="M49" s="36"/>
      <c r="N49" s="36">
        <f t="shared" si="1"/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42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17</v>
      </c>
      <c r="J50" s="36"/>
      <c r="K50" s="36"/>
      <c r="L50" s="36"/>
      <c r="M50" s="36"/>
      <c r="N50" s="36">
        <f t="shared" si="1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43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64</v>
      </c>
      <c r="J51" s="36"/>
      <c r="K51" s="36"/>
      <c r="L51" s="36"/>
      <c r="M51" s="36"/>
      <c r="N51" s="36">
        <f t="shared" si="1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88</v>
      </c>
      <c r="B52" s="111"/>
      <c r="C52" s="111"/>
      <c r="E52" s="112">
        <v>5</v>
      </c>
      <c r="F52" s="113" t="s">
        <v>12</v>
      </c>
      <c r="G52" s="112" t="s">
        <v>29</v>
      </c>
      <c r="H52" s="112" t="s">
        <v>60</v>
      </c>
      <c r="J52" s="36"/>
      <c r="K52" s="36"/>
      <c r="L52" s="36"/>
      <c r="M52" s="36"/>
      <c r="N52" s="36">
        <f t="shared" si="1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150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19</v>
      </c>
      <c r="J53" s="36"/>
      <c r="K53" s="39"/>
      <c r="L53" s="36"/>
      <c r="M53" s="36"/>
      <c r="N53" s="36">
        <f t="shared" si="1"/>
        <v>0</v>
      </c>
      <c r="O53" s="36"/>
      <c r="P53" s="36"/>
      <c r="Q53" s="36"/>
      <c r="R53" s="36"/>
    </row>
    <row r="54" spans="1:18" s="7" customFormat="1" ht="18" hidden="1" customHeight="1" x14ac:dyDescent="0.2">
      <c r="A54" s="86" t="s">
        <v>151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82</v>
      </c>
      <c r="J54" s="36"/>
      <c r="K54" s="39"/>
      <c r="L54" s="36"/>
      <c r="M54" s="36"/>
      <c r="N54" s="36">
        <f t="shared" si="1"/>
        <v>0</v>
      </c>
      <c r="O54" s="36"/>
      <c r="P54" s="36"/>
      <c r="Q54" s="36"/>
      <c r="R54" s="36"/>
    </row>
    <row r="55" spans="1:18" s="7" customFormat="1" ht="12.75" customHeight="1" x14ac:dyDescent="0.2">
      <c r="A55" s="86" t="s">
        <v>44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45</v>
      </c>
      <c r="J55" s="36"/>
      <c r="K55" s="39"/>
      <c r="L55" s="36">
        <v>785081.08</v>
      </c>
      <c r="M55" s="36"/>
      <c r="N55" s="36">
        <f t="shared" si="1"/>
        <v>1806918.92</v>
      </c>
      <c r="O55" s="36"/>
      <c r="P55" s="36">
        <v>2592000</v>
      </c>
      <c r="Q55" s="36"/>
      <c r="R55" s="36">
        <v>2592000</v>
      </c>
    </row>
    <row r="56" spans="1:18" s="7" customFormat="1" ht="12.75" hidden="1" customHeight="1" x14ac:dyDescent="0.2">
      <c r="A56" s="86" t="s">
        <v>152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102</v>
      </c>
      <c r="J56" s="36"/>
      <c r="K56" s="36"/>
      <c r="L56" s="36"/>
      <c r="M56" s="36"/>
      <c r="N56" s="36">
        <f t="shared" si="1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153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146</v>
      </c>
      <c r="J57" s="36"/>
      <c r="K57" s="36"/>
      <c r="L57" s="36"/>
      <c r="M57" s="36"/>
      <c r="N57" s="36">
        <f t="shared" si="1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46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47</v>
      </c>
      <c r="J58" s="36"/>
      <c r="K58" s="36"/>
      <c r="L58" s="36"/>
      <c r="M58" s="36"/>
      <c r="N58" s="36">
        <f t="shared" si="1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154</v>
      </c>
      <c r="B59" s="111"/>
      <c r="C59" s="111"/>
      <c r="E59" s="112">
        <v>5</v>
      </c>
      <c r="F59" s="113" t="s">
        <v>12</v>
      </c>
      <c r="G59" s="112" t="s">
        <v>29</v>
      </c>
      <c r="H59" s="112" t="s">
        <v>15</v>
      </c>
      <c r="J59" s="36"/>
      <c r="K59" s="36"/>
      <c r="L59" s="36"/>
      <c r="M59" s="36"/>
      <c r="N59" s="36">
        <f t="shared" si="1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51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24</v>
      </c>
      <c r="J60" s="36"/>
      <c r="K60" s="36"/>
      <c r="L60" s="36"/>
      <c r="M60" s="36"/>
      <c r="N60" s="36">
        <f t="shared" si="1"/>
        <v>0</v>
      </c>
      <c r="O60" s="36"/>
      <c r="P60" s="36"/>
      <c r="Q60" s="36"/>
      <c r="R60" s="36"/>
    </row>
    <row r="61" spans="1:18" s="7" customFormat="1" ht="12.75" customHeight="1" x14ac:dyDescent="0.2">
      <c r="A61" s="86" t="s">
        <v>48</v>
      </c>
      <c r="B61" s="111"/>
      <c r="C61" s="111"/>
      <c r="E61" s="112">
        <v>5</v>
      </c>
      <c r="F61" s="113" t="s">
        <v>12</v>
      </c>
      <c r="G61" s="112" t="s">
        <v>29</v>
      </c>
      <c r="H61" s="114" t="s">
        <v>49</v>
      </c>
      <c r="J61" s="36"/>
      <c r="K61" s="36"/>
      <c r="L61" s="36"/>
      <c r="M61" s="36"/>
      <c r="N61" s="36">
        <f t="shared" si="1"/>
        <v>50000</v>
      </c>
      <c r="O61" s="36"/>
      <c r="P61" s="36">
        <v>50000</v>
      </c>
      <c r="Q61" s="36"/>
      <c r="R61" s="36">
        <v>50000</v>
      </c>
    </row>
    <row r="62" spans="1:18" s="7" customFormat="1" ht="12.75" hidden="1" customHeight="1" x14ac:dyDescent="0.2">
      <c r="A62" s="86" t="s">
        <v>50</v>
      </c>
      <c r="B62" s="111"/>
      <c r="C62" s="111"/>
      <c r="D62" s="112"/>
      <c r="E62" s="112">
        <v>5</v>
      </c>
      <c r="F62" s="113" t="s">
        <v>12</v>
      </c>
      <c r="G62" s="112" t="s">
        <v>34</v>
      </c>
      <c r="H62" s="112" t="s">
        <v>8</v>
      </c>
      <c r="J62" s="36"/>
      <c r="K62" s="36"/>
      <c r="L62" s="36"/>
      <c r="M62" s="36"/>
      <c r="N62" s="36">
        <f t="shared" si="1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52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10</v>
      </c>
      <c r="J63" s="36"/>
      <c r="K63" s="36"/>
      <c r="L63" s="36"/>
      <c r="M63" s="36"/>
      <c r="N63" s="36">
        <f t="shared" si="1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48</v>
      </c>
      <c r="B64" s="111"/>
      <c r="C64" s="111"/>
      <c r="D64" s="112"/>
      <c r="E64" s="112">
        <v>5</v>
      </c>
      <c r="F64" s="113" t="s">
        <v>12</v>
      </c>
      <c r="G64" s="112" t="s">
        <v>29</v>
      </c>
      <c r="H64" s="114" t="s">
        <v>49</v>
      </c>
      <c r="J64" s="36"/>
      <c r="K64" s="36"/>
      <c r="L64" s="36"/>
      <c r="M64" s="36"/>
      <c r="N64" s="36">
        <f t="shared" si="1"/>
        <v>0</v>
      </c>
      <c r="O64" s="36"/>
      <c r="P64" s="36"/>
      <c r="Q64" s="36"/>
      <c r="R64" s="36"/>
    </row>
    <row r="65" spans="1:18" s="7" customFormat="1" ht="12.75" hidden="1" customHeight="1" x14ac:dyDescent="0.2">
      <c r="A65" s="86" t="s">
        <v>53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8</v>
      </c>
      <c r="J65" s="36"/>
      <c r="K65" s="36"/>
      <c r="L65" s="36"/>
      <c r="M65" s="36"/>
      <c r="N65" s="36">
        <f t="shared" si="1"/>
        <v>0</v>
      </c>
      <c r="O65" s="36"/>
      <c r="P65" s="36"/>
      <c r="Q65" s="36"/>
      <c r="R65" s="36"/>
    </row>
    <row r="66" spans="1:18" s="7" customFormat="1" ht="12.75" customHeight="1" x14ac:dyDescent="0.2">
      <c r="A66" s="86" t="s">
        <v>55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10</v>
      </c>
      <c r="J66" s="36"/>
      <c r="K66" s="36"/>
      <c r="L66" s="36"/>
      <c r="M66" s="36"/>
      <c r="N66" s="36">
        <f t="shared" si="1"/>
        <v>30000</v>
      </c>
      <c r="O66" s="36"/>
      <c r="P66" s="36">
        <v>30000</v>
      </c>
      <c r="Q66" s="36"/>
      <c r="R66" s="36">
        <v>30000</v>
      </c>
    </row>
    <row r="67" spans="1:18" s="7" customFormat="1" ht="12.75" hidden="1" customHeight="1" x14ac:dyDescent="0.2">
      <c r="A67" s="86" t="s">
        <v>56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15</v>
      </c>
      <c r="J67" s="36"/>
      <c r="K67" s="36"/>
      <c r="L67" s="36"/>
      <c r="M67" s="36"/>
      <c r="N67" s="36">
        <f t="shared" si="1"/>
        <v>0</v>
      </c>
      <c r="O67" s="36"/>
      <c r="P67" s="36"/>
      <c r="Q67" s="36"/>
      <c r="R67" s="36"/>
    </row>
    <row r="68" spans="1:18" s="7" customFormat="1" ht="12.75" hidden="1" customHeight="1" x14ac:dyDescent="0.2">
      <c r="A68" s="86" t="s">
        <v>57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17</v>
      </c>
      <c r="J68" s="36"/>
      <c r="K68" s="36"/>
      <c r="L68" s="36"/>
      <c r="M68" s="36"/>
      <c r="N68" s="36">
        <f t="shared" si="1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66</v>
      </c>
      <c r="B69" s="111"/>
      <c r="C69" s="111"/>
      <c r="E69" s="112">
        <v>5</v>
      </c>
      <c r="F69" s="113" t="s">
        <v>12</v>
      </c>
      <c r="G69" s="112" t="s">
        <v>67</v>
      </c>
      <c r="H69" s="112" t="s">
        <v>8</v>
      </c>
      <c r="J69" s="36"/>
      <c r="K69" s="36"/>
      <c r="L69" s="36"/>
      <c r="M69" s="36"/>
      <c r="N69" s="36">
        <f t="shared" si="1"/>
        <v>0</v>
      </c>
      <c r="O69" s="36"/>
      <c r="P69" s="36"/>
      <c r="Q69" s="36"/>
      <c r="R69" s="36"/>
    </row>
    <row r="70" spans="1:18" s="7" customFormat="1" ht="12.75" hidden="1" customHeight="1" x14ac:dyDescent="0.2">
      <c r="A70" s="86" t="s">
        <v>61</v>
      </c>
      <c r="B70" s="111"/>
      <c r="C70" s="111"/>
      <c r="E70" s="112">
        <v>5</v>
      </c>
      <c r="F70" s="113" t="s">
        <v>12</v>
      </c>
      <c r="G70" s="112" t="s">
        <v>59</v>
      </c>
      <c r="H70" s="112" t="s">
        <v>8</v>
      </c>
      <c r="J70" s="36"/>
      <c r="K70" s="36"/>
      <c r="L70" s="36"/>
      <c r="M70" s="36"/>
      <c r="N70" s="36">
        <f t="shared" si="1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62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10</v>
      </c>
      <c r="J71" s="36"/>
      <c r="K71" s="36"/>
      <c r="L71" s="36"/>
      <c r="M71" s="36"/>
      <c r="N71" s="36">
        <f t="shared" si="1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155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15</v>
      </c>
      <c r="J72" s="36"/>
      <c r="K72" s="36"/>
      <c r="L72" s="36"/>
      <c r="M72" s="36"/>
      <c r="N72" s="36">
        <f t="shared" si="1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156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17</v>
      </c>
      <c r="J73" s="36"/>
      <c r="K73" s="36"/>
      <c r="L73" s="36"/>
      <c r="M73" s="36"/>
      <c r="N73" s="36">
        <f t="shared" si="1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si="1"/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157</v>
      </c>
      <c r="B75" s="111"/>
      <c r="C75" s="111"/>
      <c r="E75" s="112">
        <v>5</v>
      </c>
      <c r="F75" s="113" t="s">
        <v>12</v>
      </c>
      <c r="G75" s="112" t="s">
        <v>93</v>
      </c>
      <c r="H75" s="112" t="s">
        <v>8</v>
      </c>
      <c r="J75" s="36"/>
      <c r="K75" s="36"/>
      <c r="L75" s="36"/>
      <c r="M75" s="36"/>
      <c r="N75" s="36">
        <f t="shared" si="1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66</v>
      </c>
      <c r="B76" s="111"/>
      <c r="C76" s="111"/>
      <c r="E76" s="112">
        <v>5</v>
      </c>
      <c r="F76" s="113" t="s">
        <v>12</v>
      </c>
      <c r="G76" s="112" t="s">
        <v>67</v>
      </c>
      <c r="H76" s="112" t="s">
        <v>8</v>
      </c>
      <c r="J76" s="36"/>
      <c r="K76" s="36"/>
      <c r="L76" s="36"/>
      <c r="M76" s="36"/>
      <c r="N76" s="36">
        <f t="shared" si="1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68</v>
      </c>
      <c r="B77" s="111"/>
      <c r="C77" s="111"/>
      <c r="E77" s="112">
        <v>5</v>
      </c>
      <c r="F77" s="113" t="s">
        <v>12</v>
      </c>
      <c r="G77" s="112" t="s">
        <v>67</v>
      </c>
      <c r="H77" s="112" t="s">
        <v>10</v>
      </c>
      <c r="J77" s="36"/>
      <c r="K77" s="36"/>
      <c r="L77" s="36"/>
      <c r="M77" s="36"/>
      <c r="N77" s="36">
        <f t="shared" si="1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158</v>
      </c>
      <c r="B78" s="111"/>
      <c r="C78" s="111"/>
      <c r="E78" s="112">
        <v>5</v>
      </c>
      <c r="F78" s="113" t="s">
        <v>12</v>
      </c>
      <c r="G78" s="112" t="s">
        <v>70</v>
      </c>
      <c r="H78" s="112" t="s">
        <v>8</v>
      </c>
      <c r="J78" s="36"/>
      <c r="K78" s="36"/>
      <c r="L78" s="36"/>
      <c r="M78" s="36"/>
      <c r="N78" s="36">
        <f t="shared" si="1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159</v>
      </c>
      <c r="B79" s="111"/>
      <c r="C79" s="111"/>
      <c r="E79" s="112">
        <v>5</v>
      </c>
      <c r="F79" s="113" t="s">
        <v>12</v>
      </c>
      <c r="G79" s="112" t="s">
        <v>70</v>
      </c>
      <c r="H79" s="112" t="s">
        <v>10</v>
      </c>
      <c r="J79" s="36"/>
      <c r="K79" s="36"/>
      <c r="L79" s="36"/>
      <c r="M79" s="36"/>
      <c r="N79" s="36">
        <f t="shared" si="1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69</v>
      </c>
      <c r="B80" s="111"/>
      <c r="C80" s="111"/>
      <c r="E80" s="112">
        <v>5</v>
      </c>
      <c r="F80" s="113" t="s">
        <v>12</v>
      </c>
      <c r="G80" s="112" t="s">
        <v>70</v>
      </c>
      <c r="H80" s="112" t="s">
        <v>15</v>
      </c>
      <c r="J80" s="36"/>
      <c r="K80" s="36"/>
      <c r="L80" s="36"/>
      <c r="M80" s="36"/>
      <c r="N80" s="36">
        <f t="shared" si="1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160</v>
      </c>
      <c r="B81" s="111"/>
      <c r="C81" s="111"/>
      <c r="E81" s="112">
        <v>5</v>
      </c>
      <c r="F81" s="113" t="s">
        <v>12</v>
      </c>
      <c r="G81" s="112" t="s">
        <v>163</v>
      </c>
      <c r="H81" s="112" t="s">
        <v>8</v>
      </c>
      <c r="J81" s="36"/>
      <c r="K81" s="36"/>
      <c r="L81" s="36"/>
      <c r="M81" s="36"/>
      <c r="N81" s="36">
        <f t="shared" si="1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161</v>
      </c>
      <c r="B82" s="111"/>
      <c r="C82" s="111"/>
      <c r="E82" s="112">
        <v>5</v>
      </c>
      <c r="F82" s="113" t="s">
        <v>12</v>
      </c>
      <c r="G82" s="112" t="s">
        <v>163</v>
      </c>
      <c r="H82" s="114" t="s">
        <v>49</v>
      </c>
      <c r="J82" s="36"/>
      <c r="K82" s="36"/>
      <c r="L82" s="36"/>
      <c r="M82" s="36"/>
      <c r="N82" s="36">
        <f t="shared" si="1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71</v>
      </c>
      <c r="B83" s="111"/>
      <c r="C83" s="111"/>
      <c r="E83" s="112">
        <v>5</v>
      </c>
      <c r="F83" s="113" t="s">
        <v>12</v>
      </c>
      <c r="G83" s="112" t="s">
        <v>163</v>
      </c>
      <c r="H83" s="112" t="s">
        <v>10</v>
      </c>
      <c r="J83" s="36"/>
      <c r="K83" s="36"/>
      <c r="L83" s="36"/>
      <c r="M83" s="36"/>
      <c r="N83" s="36">
        <f t="shared" si="1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162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15</v>
      </c>
      <c r="J84" s="36"/>
      <c r="K84" s="36"/>
      <c r="L84" s="36"/>
      <c r="M84" s="36"/>
      <c r="N84" s="36">
        <f t="shared" si="1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72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49</v>
      </c>
      <c r="J85" s="36"/>
      <c r="K85" s="36"/>
      <c r="L85" s="36"/>
      <c r="M85" s="36"/>
      <c r="N85" s="36">
        <f t="shared" si="1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164</v>
      </c>
      <c r="B86" s="111"/>
      <c r="C86" s="111"/>
      <c r="E86" s="112">
        <v>5</v>
      </c>
      <c r="F86" s="113" t="s">
        <v>12</v>
      </c>
      <c r="G86" s="112" t="s">
        <v>74</v>
      </c>
      <c r="H86" s="112" t="s">
        <v>10</v>
      </c>
      <c r="J86" s="36"/>
      <c r="K86" s="36"/>
      <c r="L86" s="36"/>
      <c r="M86" s="36"/>
      <c r="N86" s="36">
        <f t="shared" si="1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165</v>
      </c>
      <c r="B87" s="111"/>
      <c r="C87" s="111"/>
      <c r="E87" s="112">
        <v>5</v>
      </c>
      <c r="F87" s="113" t="s">
        <v>12</v>
      </c>
      <c r="G87" s="112" t="s">
        <v>74</v>
      </c>
      <c r="H87" s="112" t="s">
        <v>15</v>
      </c>
      <c r="J87" s="36"/>
      <c r="K87" s="36"/>
      <c r="L87" s="36"/>
      <c r="M87" s="36"/>
      <c r="N87" s="36">
        <f t="shared" si="1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166</v>
      </c>
      <c r="B88" s="111"/>
      <c r="C88" s="111"/>
      <c r="E88" s="112">
        <v>5</v>
      </c>
      <c r="F88" s="113" t="s">
        <v>12</v>
      </c>
      <c r="G88" s="112" t="s">
        <v>74</v>
      </c>
      <c r="H88" s="112" t="s">
        <v>17</v>
      </c>
      <c r="J88" s="36"/>
      <c r="K88" s="36"/>
      <c r="L88" s="36"/>
      <c r="M88" s="36"/>
      <c r="N88" s="36">
        <f t="shared" si="1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167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8</v>
      </c>
      <c r="J89" s="36"/>
      <c r="K89" s="36"/>
      <c r="L89" s="36"/>
      <c r="M89" s="36"/>
      <c r="N89" s="36">
        <f t="shared" si="1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168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45</v>
      </c>
      <c r="J90" s="36"/>
      <c r="K90" s="36"/>
      <c r="L90" s="36"/>
      <c r="M90" s="36"/>
      <c r="N90" s="36">
        <f t="shared" si="1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73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64</v>
      </c>
      <c r="J91" s="36"/>
      <c r="K91" s="36"/>
      <c r="L91" s="36"/>
      <c r="M91" s="36"/>
      <c r="N91" s="36">
        <f t="shared" si="1"/>
        <v>0</v>
      </c>
      <c r="O91" s="36"/>
      <c r="P91" s="36"/>
      <c r="Q91" s="36"/>
      <c r="R91" s="36"/>
    </row>
    <row r="92" spans="1:18" s="7" customFormat="1" ht="12.75" customHeight="1" x14ac:dyDescent="0.2">
      <c r="A92" s="86" t="s">
        <v>76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60</v>
      </c>
      <c r="J92" s="36"/>
      <c r="K92" s="36"/>
      <c r="L92" s="36">
        <v>95013.63</v>
      </c>
      <c r="M92" s="36"/>
      <c r="N92" s="36">
        <f t="shared" ref="N92" si="2">P92-L92</f>
        <v>1904986.37</v>
      </c>
      <c r="O92" s="36"/>
      <c r="P92" s="36">
        <v>2000000</v>
      </c>
      <c r="Q92" s="36"/>
      <c r="R92" s="36">
        <v>2000000</v>
      </c>
    </row>
    <row r="93" spans="1:18" s="7" customFormat="1" ht="12.75" hidden="1" customHeight="1" x14ac:dyDescent="0.2">
      <c r="A93" s="86" t="s">
        <v>56</v>
      </c>
      <c r="B93" s="111"/>
      <c r="C93" s="111"/>
      <c r="E93" s="112">
        <v>5</v>
      </c>
      <c r="F93" s="113" t="s">
        <v>12</v>
      </c>
      <c r="G93" s="112" t="s">
        <v>54</v>
      </c>
      <c r="H93" s="112" t="s">
        <v>15</v>
      </c>
      <c r="J93" s="36"/>
      <c r="K93" s="36"/>
      <c r="L93" s="36"/>
      <c r="M93" s="36"/>
      <c r="N93" s="36"/>
      <c r="O93" s="36"/>
      <c r="P93" s="36"/>
      <c r="Q93" s="36"/>
      <c r="R93" s="36"/>
    </row>
    <row r="94" spans="1:18" s="7" customFormat="1" ht="12.75" hidden="1" customHeight="1" x14ac:dyDescent="0.2">
      <c r="A94" s="86" t="s">
        <v>73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64</v>
      </c>
      <c r="J94" s="36"/>
      <c r="K94" s="36"/>
      <c r="L94" s="36"/>
      <c r="M94" s="36"/>
      <c r="N94" s="36"/>
      <c r="O94" s="36"/>
      <c r="P94" s="36"/>
      <c r="Q94" s="36"/>
      <c r="R94" s="36"/>
    </row>
    <row r="95" spans="1:18" s="7" customFormat="1" ht="13.5" customHeight="1" x14ac:dyDescent="0.2">
      <c r="A95" s="86" t="s">
        <v>75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19</v>
      </c>
      <c r="J95" s="36"/>
      <c r="K95" s="36"/>
      <c r="L95" s="36"/>
      <c r="M95" s="36"/>
      <c r="N95" s="36">
        <f t="shared" si="1"/>
        <v>20000</v>
      </c>
      <c r="O95" s="36"/>
      <c r="P95" s="36">
        <v>20000</v>
      </c>
      <c r="Q95" s="36"/>
      <c r="R95" s="36">
        <v>5000</v>
      </c>
    </row>
    <row r="96" spans="1:18" s="7" customFormat="1" ht="12.75" hidden="1" customHeight="1" x14ac:dyDescent="0.2">
      <c r="A96" s="86" t="s">
        <v>77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49</v>
      </c>
      <c r="J96" s="36"/>
      <c r="K96" s="36"/>
      <c r="L96" s="36"/>
      <c r="M96" s="36"/>
      <c r="N96" s="36">
        <f t="shared" si="1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165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15</v>
      </c>
      <c r="J97" s="36"/>
      <c r="K97" s="36"/>
      <c r="L97" s="36"/>
      <c r="M97" s="36"/>
      <c r="N97" s="36">
        <f t="shared" si="1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78</v>
      </c>
      <c r="B98" s="111"/>
      <c r="C98" s="111"/>
      <c r="E98" s="112">
        <v>5</v>
      </c>
      <c r="F98" s="113" t="s">
        <v>12</v>
      </c>
      <c r="G98" s="112" t="s">
        <v>79</v>
      </c>
      <c r="H98" s="112" t="s">
        <v>10</v>
      </c>
      <c r="J98" s="36"/>
      <c r="K98" s="36"/>
      <c r="L98" s="36"/>
      <c r="M98" s="36"/>
      <c r="N98" s="36">
        <f t="shared" si="1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80</v>
      </c>
      <c r="B99" s="111"/>
      <c r="C99" s="111"/>
      <c r="E99" s="112">
        <v>5</v>
      </c>
      <c r="F99" s="113" t="s">
        <v>12</v>
      </c>
      <c r="G99" s="112" t="s">
        <v>79</v>
      </c>
      <c r="H99" s="112" t="s">
        <v>15</v>
      </c>
      <c r="J99" s="36"/>
      <c r="K99" s="36"/>
      <c r="L99" s="36"/>
      <c r="M99" s="36"/>
      <c r="N99" s="36">
        <f t="shared" si="1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169</v>
      </c>
      <c r="B100" s="111"/>
      <c r="C100" s="111"/>
      <c r="E100" s="112">
        <v>5</v>
      </c>
      <c r="F100" s="113" t="s">
        <v>12</v>
      </c>
      <c r="G100" s="112" t="s">
        <v>79</v>
      </c>
      <c r="H100" s="113" t="s">
        <v>60</v>
      </c>
      <c r="J100" s="36"/>
      <c r="K100" s="36"/>
      <c r="L100" s="36"/>
      <c r="M100" s="36"/>
      <c r="N100" s="36">
        <f t="shared" si="1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170</v>
      </c>
      <c r="B101" s="111"/>
      <c r="C101" s="111"/>
      <c r="E101" s="112">
        <v>5</v>
      </c>
      <c r="F101" s="113" t="s">
        <v>12</v>
      </c>
      <c r="G101" s="112" t="s">
        <v>79</v>
      </c>
      <c r="H101" s="113" t="s">
        <v>19</v>
      </c>
      <c r="J101" s="36"/>
      <c r="K101" s="36"/>
      <c r="L101" s="36"/>
      <c r="M101" s="36"/>
      <c r="N101" s="36">
        <f t="shared" si="1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171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82</v>
      </c>
      <c r="J102" s="36"/>
      <c r="K102" s="36"/>
      <c r="L102" s="36"/>
      <c r="M102" s="36"/>
      <c r="N102" s="36">
        <f t="shared" si="1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81</v>
      </c>
      <c r="B103" s="111"/>
      <c r="C103" s="111"/>
      <c r="E103" s="112">
        <v>5</v>
      </c>
      <c r="F103" s="113" t="s">
        <v>12</v>
      </c>
      <c r="G103" s="112" t="s">
        <v>59</v>
      </c>
      <c r="H103" s="113" t="s">
        <v>82</v>
      </c>
      <c r="J103" s="36"/>
      <c r="K103" s="36"/>
      <c r="L103" s="36"/>
      <c r="M103" s="36"/>
      <c r="N103" s="36">
        <f t="shared" si="1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83</v>
      </c>
      <c r="B104" s="111"/>
      <c r="C104" s="111"/>
      <c r="E104" s="112">
        <v>5</v>
      </c>
      <c r="F104" s="113" t="s">
        <v>12</v>
      </c>
      <c r="G104" s="112" t="s">
        <v>84</v>
      </c>
      <c r="H104" s="113" t="s">
        <v>8</v>
      </c>
      <c r="J104" s="36"/>
      <c r="K104" s="36"/>
      <c r="L104" s="36"/>
      <c r="M104" s="36"/>
      <c r="N104" s="36">
        <f t="shared" si="1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85</v>
      </c>
      <c r="B105" s="111"/>
      <c r="C105" s="111"/>
      <c r="E105" s="112">
        <v>5</v>
      </c>
      <c r="F105" s="113" t="s">
        <v>12</v>
      </c>
      <c r="G105" s="112" t="s">
        <v>84</v>
      </c>
      <c r="H105" s="113" t="s">
        <v>10</v>
      </c>
      <c r="J105" s="36"/>
      <c r="K105" s="36"/>
      <c r="L105" s="36"/>
      <c r="M105" s="36"/>
      <c r="N105" s="36">
        <f t="shared" si="1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86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15</v>
      </c>
      <c r="J106" s="36"/>
      <c r="K106" s="36"/>
      <c r="L106" s="36"/>
      <c r="M106" s="36"/>
      <c r="N106" s="36">
        <f t="shared" si="1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172</v>
      </c>
      <c r="B107" s="111"/>
      <c r="C107" s="111"/>
      <c r="E107" s="112">
        <v>5</v>
      </c>
      <c r="F107" s="113" t="s">
        <v>12</v>
      </c>
      <c r="G107" s="112" t="s">
        <v>174</v>
      </c>
      <c r="H107" s="113" t="s">
        <v>8</v>
      </c>
      <c r="J107" s="36"/>
      <c r="K107" s="36"/>
      <c r="L107" s="36"/>
      <c r="M107" s="36"/>
      <c r="N107" s="36">
        <f t="shared" si="1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173</v>
      </c>
      <c r="B108" s="111"/>
      <c r="C108" s="111"/>
      <c r="E108" s="112">
        <v>5</v>
      </c>
      <c r="F108" s="113" t="s">
        <v>12</v>
      </c>
      <c r="G108" s="112" t="s">
        <v>174</v>
      </c>
      <c r="H108" s="113" t="s">
        <v>10</v>
      </c>
      <c r="J108" s="36"/>
      <c r="K108" s="36"/>
      <c r="L108" s="36"/>
      <c r="M108" s="36"/>
      <c r="N108" s="36">
        <f t="shared" ref="N108:N112" si="3">P108-L108</f>
        <v>0</v>
      </c>
      <c r="O108" s="36"/>
      <c r="P108" s="36"/>
      <c r="Q108" s="36"/>
      <c r="R108" s="36"/>
    </row>
    <row r="109" spans="1:18" s="7" customFormat="1" ht="18" hidden="1" customHeight="1" x14ac:dyDescent="0.2">
      <c r="A109" s="86" t="s">
        <v>87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15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customHeight="1" x14ac:dyDescent="0.2">
      <c r="A110" s="86" t="s">
        <v>58</v>
      </c>
      <c r="B110" s="111"/>
      <c r="C110" s="111"/>
      <c r="E110" s="112">
        <v>5</v>
      </c>
      <c r="F110" s="112" t="s">
        <v>12</v>
      </c>
      <c r="G110" s="112" t="s">
        <v>59</v>
      </c>
      <c r="H110" s="112" t="s">
        <v>60</v>
      </c>
      <c r="J110" s="36"/>
      <c r="K110" s="36"/>
      <c r="L110" s="36">
        <v>100000</v>
      </c>
      <c r="M110" s="36"/>
      <c r="N110" s="36">
        <f t="shared" si="3"/>
        <v>50000</v>
      </c>
      <c r="O110" s="36"/>
      <c r="P110" s="36">
        <v>150000</v>
      </c>
      <c r="Q110" s="36"/>
      <c r="R110" s="36">
        <v>120000</v>
      </c>
    </row>
    <row r="111" spans="1:18" s="7" customFormat="1" ht="12.75" customHeight="1" x14ac:dyDescent="0.2">
      <c r="A111" s="86" t="s">
        <v>65</v>
      </c>
      <c r="B111" s="111"/>
      <c r="C111" s="111"/>
      <c r="E111" s="112">
        <v>5</v>
      </c>
      <c r="F111" s="113" t="s">
        <v>12</v>
      </c>
      <c r="G111" s="112" t="s">
        <v>59</v>
      </c>
      <c r="H111" s="112" t="s">
        <v>19</v>
      </c>
      <c r="J111" s="36"/>
      <c r="K111" s="36"/>
      <c r="L111" s="36">
        <v>5084</v>
      </c>
      <c r="M111" s="36"/>
      <c r="N111" s="36">
        <f t="shared" ref="N111" si="4">P111-L111</f>
        <v>24916</v>
      </c>
      <c r="O111" s="36"/>
      <c r="P111" s="36">
        <v>30000</v>
      </c>
      <c r="Q111" s="36"/>
      <c r="R111" s="36">
        <v>30000</v>
      </c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/>
      <c r="K112" s="36"/>
      <c r="L112" s="36"/>
      <c r="M112" s="36"/>
      <c r="N112" s="36">
        <f t="shared" si="3"/>
        <v>100000</v>
      </c>
      <c r="O112" s="36"/>
      <c r="P112" s="36">
        <v>100000</v>
      </c>
      <c r="Q112" s="36"/>
      <c r="R112" s="36">
        <v>100000</v>
      </c>
    </row>
    <row r="113" spans="1:18" s="7" customFormat="1" ht="18.75" customHeight="1" x14ac:dyDescent="0.2">
      <c r="A113" s="323" t="s">
        <v>191</v>
      </c>
      <c r="B113" s="323"/>
      <c r="C113" s="323"/>
      <c r="J113" s="161">
        <f>SUM(J45:J112)</f>
        <v>0</v>
      </c>
      <c r="K113" s="162"/>
      <c r="L113" s="161">
        <f>SUM(L45:L112)</f>
        <v>1481106.5499999998</v>
      </c>
      <c r="M113" s="36"/>
      <c r="N113" s="161">
        <f>SUM(N45:N112)</f>
        <v>6240893.4500000002</v>
      </c>
      <c r="O113" s="36"/>
      <c r="P113" s="161">
        <f>SUM(P45:P112)</f>
        <v>7722000</v>
      </c>
      <c r="Q113" s="36"/>
      <c r="R113" s="161">
        <f>SUM(R45:R112)</f>
        <v>7677000</v>
      </c>
    </row>
    <row r="114" spans="1:18" s="7" customFormat="1" ht="6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8.9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6" hidden="1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11" t="s">
        <v>89</v>
      </c>
      <c r="B127" s="24"/>
      <c r="C127" s="2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71" t="s">
        <v>91</v>
      </c>
      <c r="B129" s="25"/>
      <c r="C129" s="25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92</v>
      </c>
      <c r="B130" s="111"/>
      <c r="C130" s="111"/>
      <c r="E130" s="112">
        <v>1</v>
      </c>
      <c r="F130" s="113" t="s">
        <v>93</v>
      </c>
      <c r="G130" s="112" t="s">
        <v>7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94</v>
      </c>
      <c r="B131" s="111"/>
      <c r="C131" s="111"/>
      <c r="E131" s="112">
        <v>1</v>
      </c>
      <c r="F131" s="113" t="s">
        <v>93</v>
      </c>
      <c r="G131" s="112" t="s">
        <v>34</v>
      </c>
      <c r="H131" s="112" t="s">
        <v>8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95</v>
      </c>
      <c r="B132" s="116"/>
      <c r="C132" s="116"/>
      <c r="E132" s="112">
        <v>1</v>
      </c>
      <c r="F132" s="113" t="s">
        <v>93</v>
      </c>
      <c r="G132" s="112" t="s">
        <v>34</v>
      </c>
      <c r="H132" s="112" t="s">
        <v>49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hidden="1" customHeight="1" x14ac:dyDescent="0.2">
      <c r="A133" s="86" t="s">
        <v>96</v>
      </c>
      <c r="B133" s="116"/>
      <c r="C133" s="116"/>
      <c r="D133" s="113"/>
      <c r="E133" s="112">
        <v>1</v>
      </c>
      <c r="F133" s="113" t="s">
        <v>93</v>
      </c>
      <c r="G133" s="112" t="s">
        <v>54</v>
      </c>
      <c r="H133" s="112" t="s">
        <v>10</v>
      </c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customHeight="1" x14ac:dyDescent="0.2">
      <c r="A134" s="86" t="s">
        <v>97</v>
      </c>
      <c r="B134" s="111"/>
      <c r="C134" s="111"/>
      <c r="E134" s="112">
        <v>1</v>
      </c>
      <c r="F134" s="113" t="s">
        <v>93</v>
      </c>
      <c r="G134" s="112" t="s">
        <v>93</v>
      </c>
      <c r="H134" s="112" t="s">
        <v>8</v>
      </c>
      <c r="J134" s="36"/>
      <c r="K134" s="36"/>
      <c r="L134" s="36"/>
      <c r="M134" s="36"/>
      <c r="N134" s="36">
        <f t="shared" ref="N134" si="5">P134-L134</f>
        <v>50000</v>
      </c>
      <c r="O134" s="36"/>
      <c r="P134" s="36">
        <v>50000</v>
      </c>
      <c r="Q134" s="36"/>
      <c r="R134" s="36">
        <v>300000</v>
      </c>
    </row>
    <row r="135" spans="1:18" s="7" customFormat="1" ht="1.5" hidden="1" customHeight="1" x14ac:dyDescent="0.2">
      <c r="A135" s="86" t="s">
        <v>98</v>
      </c>
      <c r="B135" s="116"/>
      <c r="C135" s="116"/>
      <c r="E135" s="112">
        <v>1</v>
      </c>
      <c r="F135" s="113" t="s">
        <v>93</v>
      </c>
      <c r="G135" s="112" t="s">
        <v>54</v>
      </c>
      <c r="H135" s="112" t="s">
        <v>15</v>
      </c>
      <c r="J135" s="36"/>
      <c r="K135" s="36"/>
      <c r="L135" s="36"/>
      <c r="M135" s="36"/>
      <c r="N135" s="36">
        <f t="shared" ref="N135:N146" si="6">P135-L135</f>
        <v>0</v>
      </c>
      <c r="O135" s="36"/>
      <c r="P135" s="36"/>
      <c r="Q135" s="36"/>
      <c r="R135" s="36"/>
    </row>
    <row r="136" spans="1:18" s="7" customFormat="1" ht="12.75" hidden="1" customHeight="1" x14ac:dyDescent="0.2">
      <c r="A136" s="86" t="s">
        <v>99</v>
      </c>
      <c r="B136" s="116"/>
      <c r="C136" s="116"/>
      <c r="D136" s="113"/>
      <c r="E136" s="112">
        <v>1</v>
      </c>
      <c r="F136" s="113" t="s">
        <v>93</v>
      </c>
      <c r="G136" s="112" t="s">
        <v>93</v>
      </c>
      <c r="H136" s="112" t="s">
        <v>10</v>
      </c>
      <c r="J136" s="36">
        <v>0</v>
      </c>
      <c r="K136" s="36"/>
      <c r="L136" s="36"/>
      <c r="M136" s="36"/>
      <c r="N136" s="36">
        <f t="shared" si="6"/>
        <v>0</v>
      </c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100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19</v>
      </c>
      <c r="J137" s="36"/>
      <c r="K137" s="36"/>
      <c r="L137" s="36"/>
      <c r="M137" s="36"/>
      <c r="N137" s="36">
        <f t="shared" si="6"/>
        <v>0</v>
      </c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175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82</v>
      </c>
      <c r="J138" s="36"/>
      <c r="K138" s="36"/>
      <c r="L138" s="36"/>
      <c r="M138" s="36"/>
      <c r="N138" s="36">
        <f t="shared" si="6"/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176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45</v>
      </c>
      <c r="J139" s="36"/>
      <c r="K139" s="36"/>
      <c r="L139" s="36"/>
      <c r="M139" s="36"/>
      <c r="N139" s="36">
        <f t="shared" si="6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177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146</v>
      </c>
      <c r="J140" s="36"/>
      <c r="K140" s="36"/>
      <c r="L140" s="36"/>
      <c r="M140" s="36"/>
      <c r="N140" s="36">
        <f t="shared" si="6"/>
        <v>0</v>
      </c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101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102</v>
      </c>
      <c r="J141" s="36"/>
      <c r="K141" s="36"/>
      <c r="L141" s="36"/>
      <c r="M141" s="36"/>
      <c r="N141" s="36">
        <f t="shared" si="6"/>
        <v>0</v>
      </c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103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24</v>
      </c>
      <c r="J142" s="36"/>
      <c r="K142" s="36"/>
      <c r="L142" s="36"/>
      <c r="M142" s="36"/>
      <c r="N142" s="36">
        <f t="shared" si="6"/>
        <v>0</v>
      </c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104</v>
      </c>
      <c r="B143" s="111"/>
      <c r="C143" s="111"/>
      <c r="E143" s="112">
        <v>1</v>
      </c>
      <c r="F143" s="113" t="s">
        <v>93</v>
      </c>
      <c r="G143" s="112" t="s">
        <v>54</v>
      </c>
      <c r="H143" s="112" t="s">
        <v>28</v>
      </c>
      <c r="J143" s="36"/>
      <c r="K143" s="36"/>
      <c r="L143" s="36"/>
      <c r="M143" s="36"/>
      <c r="N143" s="36">
        <f t="shared" si="6"/>
        <v>0</v>
      </c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105</v>
      </c>
      <c r="B144" s="111"/>
      <c r="C144" s="111"/>
      <c r="D144" s="113"/>
      <c r="E144" s="112">
        <v>1</v>
      </c>
      <c r="F144" s="113" t="s">
        <v>93</v>
      </c>
      <c r="G144" s="112" t="s">
        <v>54</v>
      </c>
      <c r="H144" s="114" t="s">
        <v>49</v>
      </c>
      <c r="J144" s="36"/>
      <c r="K144" s="36"/>
      <c r="L144" s="36"/>
      <c r="M144" s="36"/>
      <c r="N144" s="36">
        <f t="shared" si="6"/>
        <v>0</v>
      </c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106</v>
      </c>
      <c r="B145" s="111"/>
      <c r="C145" s="111"/>
      <c r="D145" s="113"/>
      <c r="E145" s="112">
        <v>1</v>
      </c>
      <c r="F145" s="113" t="s">
        <v>93</v>
      </c>
      <c r="G145" s="112" t="s">
        <v>67</v>
      </c>
      <c r="H145" s="112" t="s">
        <v>8</v>
      </c>
      <c r="J145" s="36"/>
      <c r="K145" s="36"/>
      <c r="L145" s="36"/>
      <c r="M145" s="36"/>
      <c r="N145" s="36">
        <f t="shared" si="6"/>
        <v>0</v>
      </c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107</v>
      </c>
      <c r="B146" s="111"/>
      <c r="C146" s="111"/>
      <c r="D146" s="113"/>
      <c r="E146" s="112">
        <v>1</v>
      </c>
      <c r="F146" s="113" t="s">
        <v>93</v>
      </c>
      <c r="G146" s="112" t="s">
        <v>59</v>
      </c>
      <c r="H146" s="114" t="s">
        <v>49</v>
      </c>
      <c r="J146" s="36">
        <v>0</v>
      </c>
      <c r="K146" s="36"/>
      <c r="L146" s="36"/>
      <c r="M146" s="36"/>
      <c r="N146" s="36">
        <f t="shared" si="6"/>
        <v>0</v>
      </c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178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8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179</v>
      </c>
      <c r="B148" s="111"/>
      <c r="C148" s="111"/>
      <c r="D148" s="113"/>
      <c r="E148" s="112">
        <v>1</v>
      </c>
      <c r="F148" s="113" t="s">
        <v>93</v>
      </c>
      <c r="G148" s="112" t="s">
        <v>29</v>
      </c>
      <c r="H148" s="112" t="s">
        <v>45</v>
      </c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M149" s="172"/>
      <c r="N149" s="21">
        <f>SUM(N130:N148)</f>
        <v>50000</v>
      </c>
      <c r="O149" s="172"/>
      <c r="P149" s="21">
        <f>SUM(P130:P148)</f>
        <v>50000</v>
      </c>
      <c r="Q149" s="172"/>
      <c r="R149" s="21">
        <f>SUM(R130:R148)</f>
        <v>300000</v>
      </c>
    </row>
    <row r="150" spans="1:18" s="7" customFormat="1" ht="2.25" customHeight="1" x14ac:dyDescent="0.2"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J42+J113+J124+J149</f>
        <v>36309147.149999991</v>
      </c>
      <c r="K151" s="23"/>
      <c r="L151" s="29">
        <f>L42+L113+L124+L149</f>
        <v>19502866.34</v>
      </c>
      <c r="M151" s="36"/>
      <c r="N151" s="29">
        <f>N42+N113+N124+N149</f>
        <v>26832284.580000002</v>
      </c>
      <c r="O151" s="36"/>
      <c r="P151" s="29">
        <f>P42+P113+P124+P149</f>
        <v>46335150.920000002</v>
      </c>
      <c r="Q151" s="36"/>
      <c r="R151" s="29">
        <f>R42+R113+R149</f>
        <v>47245821.93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/>
    <row r="155" spans="1:18" s="7" customFormat="1" x14ac:dyDescent="0.2"/>
    <row r="156" spans="1:18" hidden="1" x14ac:dyDescent="0.2">
      <c r="A156" s="75" t="s">
        <v>133</v>
      </c>
      <c r="D156" s="33"/>
      <c r="E156" s="32"/>
      <c r="G156" s="31"/>
      <c r="I156" s="31"/>
      <c r="J156" s="47" t="s">
        <v>134</v>
      </c>
      <c r="M156" s="47"/>
      <c r="N156" s="49"/>
      <c r="O156" s="49"/>
      <c r="P156" s="48" t="s">
        <v>135</v>
      </c>
    </row>
    <row r="157" spans="1:18" hidden="1" x14ac:dyDescent="0.2">
      <c r="A157" s="50"/>
      <c r="D157" s="33"/>
      <c r="E157" s="51"/>
      <c r="G157" s="31"/>
      <c r="I157" s="31"/>
      <c r="J157" s="168"/>
      <c r="M157" s="168"/>
      <c r="N157" s="36"/>
      <c r="O157" s="36"/>
      <c r="P157" s="51"/>
    </row>
    <row r="158" spans="1:18" hidden="1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hidden="1" x14ac:dyDescent="0.2">
      <c r="A159" s="76" t="s">
        <v>194</v>
      </c>
      <c r="D159" s="55"/>
      <c r="E159" s="56"/>
      <c r="G159" s="31"/>
      <c r="I159" s="31"/>
      <c r="J159" s="57" t="s">
        <v>136</v>
      </c>
      <c r="M159" s="57"/>
      <c r="N159" s="59"/>
      <c r="O159" s="59"/>
      <c r="P159" s="58" t="s">
        <v>137</v>
      </c>
    </row>
    <row r="160" spans="1:18" hidden="1" x14ac:dyDescent="0.2">
      <c r="A160" s="75" t="s">
        <v>195</v>
      </c>
      <c r="D160" s="31"/>
      <c r="E160" s="32"/>
      <c r="G160" s="31"/>
      <c r="I160" s="31"/>
      <c r="J160" s="33" t="s">
        <v>138</v>
      </c>
      <c r="M160" s="33"/>
      <c r="N160" s="35"/>
      <c r="O160" s="35"/>
      <c r="P160" s="60" t="s">
        <v>139</v>
      </c>
    </row>
    <row r="161" spans="1:18" hidden="1" x14ac:dyDescent="0.2"/>
    <row r="162" spans="1:18" hidden="1" x14ac:dyDescent="0.2"/>
    <row r="163" spans="1:18" x14ac:dyDescent="0.2">
      <c r="A163" s="321" t="s">
        <v>133</v>
      </c>
      <c r="B163" s="321"/>
      <c r="C163" s="321"/>
      <c r="J163" s="321" t="s">
        <v>134</v>
      </c>
      <c r="K163" s="321"/>
      <c r="L163" s="321"/>
      <c r="M163" s="47"/>
      <c r="N163" s="49"/>
      <c r="O163" s="49"/>
      <c r="P163" s="311" t="s">
        <v>135</v>
      </c>
      <c r="Q163" s="311"/>
      <c r="R163" s="311"/>
    </row>
    <row r="164" spans="1:18" x14ac:dyDescent="0.2">
      <c r="A164" s="168"/>
      <c r="B164" s="168"/>
      <c r="C164" s="168"/>
      <c r="J164" s="168"/>
      <c r="K164" s="168"/>
      <c r="L164" s="168"/>
      <c r="M164" s="47"/>
      <c r="N164" s="49"/>
      <c r="O164" s="49"/>
      <c r="P164" s="165"/>
      <c r="Q164" s="165"/>
      <c r="R164" s="165"/>
    </row>
    <row r="165" spans="1:18" x14ac:dyDescent="0.2">
      <c r="A165" s="50"/>
      <c r="C165" s="168"/>
      <c r="J165" s="168"/>
      <c r="M165" s="168"/>
      <c r="N165" s="36"/>
      <c r="O165" s="36"/>
      <c r="P165" s="51"/>
    </row>
    <row r="166" spans="1:18" x14ac:dyDescent="0.2">
      <c r="A166" s="52"/>
      <c r="C166" s="31"/>
      <c r="J166" s="31"/>
      <c r="M166" s="31"/>
      <c r="P166" s="53"/>
    </row>
    <row r="167" spans="1:18" x14ac:dyDescent="0.2">
      <c r="A167" s="322" t="s">
        <v>265</v>
      </c>
      <c r="B167" s="322"/>
      <c r="C167" s="322"/>
      <c r="J167" s="322" t="s">
        <v>291</v>
      </c>
      <c r="K167" s="322"/>
      <c r="L167" s="322"/>
      <c r="M167" s="57"/>
      <c r="N167" s="59"/>
      <c r="O167" s="59"/>
      <c r="P167" s="312" t="s">
        <v>137</v>
      </c>
      <c r="Q167" s="312"/>
      <c r="R167" s="312"/>
    </row>
    <row r="168" spans="1:18" x14ac:dyDescent="0.2">
      <c r="A168" s="313" t="s">
        <v>266</v>
      </c>
      <c r="B168" s="313"/>
      <c r="C168" s="313"/>
      <c r="J168" s="321" t="s">
        <v>269</v>
      </c>
      <c r="K168" s="321"/>
      <c r="L168" s="321"/>
      <c r="M168" s="33"/>
      <c r="N168" s="35"/>
      <c r="O168" s="35"/>
      <c r="P168" s="313" t="s">
        <v>139</v>
      </c>
      <c r="Q168" s="313"/>
      <c r="R168" s="313"/>
    </row>
  </sheetData>
  <customSheetViews>
    <customSheetView guid="{1998FCB8-1FEB-4076-ACE6-A225EE4366B3}" showPageBreaks="1" printArea="1" hiddenRows="1" view="pageBreakPreview">
      <pane xSplit="4" ySplit="15" topLeftCell="E134" activePane="bottomRight" state="frozen"/>
      <selection pane="bottomRight" activeCell="R151" sqref="R151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61" activePane="bottomRight" state="frozen"/>
      <selection pane="bottomRight" activeCell="N66" sqref="N6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66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D15" activePane="bottomRight" state="frozen"/>
      <selection pane="bottomRight" activeCell="A133" sqref="A133:XFD14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4" ySplit="15" topLeftCell="E113" activePane="bottomRight" state="frozen"/>
      <selection pane="bottomRight" activeCell="R134" sqref="R134"/>
      <rowBreaks count="2" manualBreakCount="2">
        <brk id="91" max="18" man="1"/>
        <brk id="10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63:C163"/>
    <mergeCell ref="A167:C167"/>
    <mergeCell ref="A168:C168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  <mergeCell ref="J163:L163"/>
    <mergeCell ref="J167:L167"/>
    <mergeCell ref="J168:L168"/>
    <mergeCell ref="P163:R163"/>
    <mergeCell ref="P167:R167"/>
    <mergeCell ref="P168:R168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3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9"/>
  <sheetViews>
    <sheetView view="pageBreakPreview" zoomScaleNormal="85" zoomScaleSheetLayoutView="100" workbookViewId="0">
      <pane xSplit="1" ySplit="13" topLeftCell="B154" activePane="bottomRight" state="frozen"/>
      <selection pane="topRight" activeCell="B1" sqref="B1"/>
      <selection pane="bottomLeft" activeCell="A14" sqref="A14"/>
      <selection pane="bottomRight" activeCell="C156" sqref="C1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197</v>
      </c>
      <c r="H4" s="3"/>
      <c r="I4" s="3"/>
      <c r="R4" s="4" t="s">
        <v>196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333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317" t="s">
        <v>122</v>
      </c>
      <c r="M9" s="317"/>
      <c r="N9" s="317"/>
      <c r="O9" s="317"/>
      <c r="P9" s="317"/>
      <c r="Q9" s="65"/>
    </row>
    <row r="10" spans="1:19" ht="15" customHeight="1" x14ac:dyDescent="0.2">
      <c r="H10" s="8"/>
      <c r="I10" s="8"/>
      <c r="J10" s="8" t="s">
        <v>268</v>
      </c>
      <c r="K10" s="8"/>
      <c r="L10" s="62" t="s">
        <v>123</v>
      </c>
      <c r="M10" s="62"/>
      <c r="N10" s="62" t="s">
        <v>125</v>
      </c>
      <c r="O10" s="62"/>
      <c r="P10" s="318" t="s">
        <v>127</v>
      </c>
      <c r="Q10" s="45"/>
      <c r="R10" s="167" t="s">
        <v>132</v>
      </c>
    </row>
    <row r="11" spans="1:19" ht="15" customHeight="1" x14ac:dyDescent="0.2">
      <c r="A11" s="320" t="s">
        <v>186</v>
      </c>
      <c r="B11" s="320"/>
      <c r="C11" s="320"/>
      <c r="D11" s="9"/>
      <c r="E11" s="320" t="s">
        <v>112</v>
      </c>
      <c r="F11" s="320"/>
      <c r="G11" s="320"/>
      <c r="H11" s="320"/>
      <c r="I11" s="8"/>
      <c r="J11" s="87" t="s">
        <v>290</v>
      </c>
      <c r="K11" s="44"/>
      <c r="L11" s="44">
        <v>2020</v>
      </c>
      <c r="M11" s="44"/>
      <c r="N11" s="44">
        <v>2020</v>
      </c>
      <c r="O11" s="44"/>
      <c r="P11" s="319"/>
      <c r="Q11" s="45"/>
      <c r="R11" s="44">
        <v>2021</v>
      </c>
    </row>
    <row r="12" spans="1:19" ht="15" customHeight="1" x14ac:dyDescent="0.2">
      <c r="A12" s="309" t="s">
        <v>3</v>
      </c>
      <c r="B12" s="309"/>
      <c r="C12" s="309"/>
      <c r="D12" s="7"/>
      <c r="E12" s="310" t="s">
        <v>4</v>
      </c>
      <c r="F12" s="310"/>
      <c r="G12" s="310"/>
      <c r="H12" s="310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319"/>
      <c r="Q12" s="45"/>
      <c r="R12" s="168" t="s">
        <v>2</v>
      </c>
    </row>
    <row r="13" spans="1:19" ht="15" customHeight="1" x14ac:dyDescent="0.2"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J14" s="61"/>
      <c r="K14" s="61"/>
      <c r="L14" s="61"/>
      <c r="M14" s="61"/>
      <c r="N14" s="61"/>
      <c r="O14" s="61"/>
      <c r="P14" s="61"/>
      <c r="Q14" s="61"/>
      <c r="R14" s="61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86" t="s">
        <v>6</v>
      </c>
      <c r="B16" s="111"/>
      <c r="C16" s="111"/>
      <c r="D16" s="112"/>
      <c r="E16" s="112">
        <v>5</v>
      </c>
      <c r="F16" s="113" t="s">
        <v>7</v>
      </c>
      <c r="G16" s="112" t="s">
        <v>7</v>
      </c>
      <c r="H16" s="112" t="s">
        <v>8</v>
      </c>
      <c r="I16" s="112"/>
      <c r="J16" s="36">
        <v>7999020.7999999998</v>
      </c>
      <c r="K16" s="13"/>
      <c r="L16" s="36">
        <v>3693868.58</v>
      </c>
      <c r="M16" s="36"/>
      <c r="N16" s="36">
        <f>P16-L16</f>
        <v>6208496.2400000002</v>
      </c>
      <c r="O16" s="36"/>
      <c r="P16" s="36">
        <v>9902364.8200000003</v>
      </c>
      <c r="Q16" s="36"/>
      <c r="R16" s="36">
        <v>10338689.74</v>
      </c>
    </row>
    <row r="17" spans="1:18" s="7" customFormat="1" ht="12.75" hidden="1" customHeight="1" x14ac:dyDescent="0.2">
      <c r="A17" s="130" t="s">
        <v>9</v>
      </c>
      <c r="B17" s="131"/>
      <c r="C17" s="131"/>
      <c r="E17" s="132">
        <v>5</v>
      </c>
      <c r="F17" s="133" t="s">
        <v>7</v>
      </c>
      <c r="G17" s="132" t="s">
        <v>7</v>
      </c>
      <c r="H17" s="132" t="s">
        <v>10</v>
      </c>
      <c r="J17" s="36"/>
      <c r="K17" s="39"/>
      <c r="L17" s="36"/>
      <c r="M17" s="36"/>
      <c r="N17" s="36"/>
      <c r="O17" s="36"/>
      <c r="P17" s="36"/>
      <c r="Q17" s="36"/>
      <c r="R17" s="36"/>
    </row>
    <row r="18" spans="1:18" s="7" customFormat="1" ht="12.75" customHeight="1" x14ac:dyDescent="0.2">
      <c r="A18" s="86" t="s">
        <v>11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8</v>
      </c>
      <c r="J18" s="36">
        <v>713873.02</v>
      </c>
      <c r="K18" s="13"/>
      <c r="L18" s="36">
        <v>346409.09</v>
      </c>
      <c r="M18" s="36"/>
      <c r="N18" s="36">
        <f t="shared" ref="N18:N21" si="0">P18-L18</f>
        <v>445590.91</v>
      </c>
      <c r="O18" s="36"/>
      <c r="P18" s="36">
        <v>792000</v>
      </c>
      <c r="Q18" s="36"/>
      <c r="R18" s="36">
        <v>792000</v>
      </c>
    </row>
    <row r="19" spans="1:18" s="7" customFormat="1" ht="12.75" customHeight="1" x14ac:dyDescent="0.2">
      <c r="A19" s="86" t="s">
        <v>13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10</v>
      </c>
      <c r="J19" s="36"/>
      <c r="K19" s="13"/>
      <c r="L19" s="36"/>
      <c r="M19" s="36"/>
      <c r="N19" s="36">
        <f t="shared" si="0"/>
        <v>102000</v>
      </c>
      <c r="O19" s="36"/>
      <c r="P19" s="36">
        <v>102000</v>
      </c>
      <c r="Q19" s="36"/>
      <c r="R19" s="36">
        <v>102000</v>
      </c>
    </row>
    <row r="20" spans="1:18" s="7" customFormat="1" ht="12.75" customHeight="1" x14ac:dyDescent="0.2">
      <c r="A20" s="86" t="s">
        <v>14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15</v>
      </c>
      <c r="J20" s="36"/>
      <c r="K20" s="13"/>
      <c r="L20" s="36"/>
      <c r="M20" s="36"/>
      <c r="N20" s="36">
        <f t="shared" si="0"/>
        <v>102000</v>
      </c>
      <c r="O20" s="36"/>
      <c r="P20" s="36">
        <v>102000</v>
      </c>
      <c r="Q20" s="36"/>
      <c r="R20" s="36">
        <v>102000</v>
      </c>
    </row>
    <row r="21" spans="1:18" s="7" customFormat="1" ht="12.75" customHeight="1" x14ac:dyDescent="0.2">
      <c r="A21" s="86" t="s">
        <v>16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17</v>
      </c>
      <c r="J21" s="36">
        <v>174000</v>
      </c>
      <c r="K21" s="13"/>
      <c r="L21" s="36">
        <v>174000</v>
      </c>
      <c r="M21" s="36"/>
      <c r="N21" s="36">
        <f t="shared" si="0"/>
        <v>24000</v>
      </c>
      <c r="O21" s="36"/>
      <c r="P21" s="36">
        <v>198000</v>
      </c>
      <c r="Q21" s="36"/>
      <c r="R21" s="36">
        <v>198000</v>
      </c>
    </row>
    <row r="22" spans="1:18" s="7" customFormat="1" ht="12.75" hidden="1" customHeight="1" x14ac:dyDescent="0.2">
      <c r="A22" s="86" t="s">
        <v>141</v>
      </c>
      <c r="B22" s="111"/>
      <c r="C22" s="111"/>
      <c r="D22" s="112"/>
      <c r="E22" s="112">
        <v>5</v>
      </c>
      <c r="F22" s="113" t="s">
        <v>7</v>
      </c>
      <c r="G22" s="112" t="s">
        <v>12</v>
      </c>
      <c r="H22" s="112" t="s">
        <v>64</v>
      </c>
      <c r="J22" s="36"/>
      <c r="K22" s="13"/>
      <c r="L22" s="36"/>
      <c r="M22" s="36"/>
      <c r="N22" s="36"/>
      <c r="O22" s="36"/>
      <c r="P22" s="36"/>
      <c r="Q22" s="36"/>
      <c r="R22" s="36"/>
    </row>
    <row r="23" spans="1:18" s="7" customFormat="1" ht="12.75" hidden="1" customHeight="1" x14ac:dyDescent="0.2">
      <c r="A23" s="86" t="s">
        <v>143</v>
      </c>
      <c r="B23" s="111"/>
      <c r="C23" s="111"/>
      <c r="E23" s="112">
        <v>5</v>
      </c>
      <c r="F23" s="113" t="s">
        <v>7</v>
      </c>
      <c r="G23" s="112" t="s">
        <v>12</v>
      </c>
      <c r="H23" s="112" t="s">
        <v>45</v>
      </c>
      <c r="J23" s="36"/>
      <c r="K23" s="13"/>
      <c r="L23" s="36"/>
      <c r="M23" s="36"/>
      <c r="N23" s="36"/>
      <c r="O23" s="36"/>
      <c r="P23" s="36"/>
      <c r="Q23" s="36"/>
      <c r="R23" s="36"/>
    </row>
    <row r="24" spans="1:18" s="7" customFormat="1" ht="12.75" hidden="1" customHeight="1" x14ac:dyDescent="0.2">
      <c r="A24" s="86" t="s">
        <v>144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60</v>
      </c>
      <c r="J24" s="36"/>
      <c r="K24" s="13"/>
      <c r="L24" s="36"/>
      <c r="M24" s="36"/>
      <c r="N24" s="36">
        <f t="shared" ref="N24:N40" si="1">P24-L24</f>
        <v>0</v>
      </c>
      <c r="O24" s="36"/>
      <c r="P24" s="36"/>
      <c r="Q24" s="36"/>
      <c r="R24" s="36"/>
    </row>
    <row r="25" spans="1:18" s="7" customFormat="1" ht="12.75" hidden="1" customHeight="1" x14ac:dyDescent="0.2">
      <c r="A25" s="86" t="s">
        <v>18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19</v>
      </c>
      <c r="J25" s="36"/>
      <c r="K25" s="13"/>
      <c r="L25" s="36"/>
      <c r="M25" s="36"/>
      <c r="N25" s="36">
        <f t="shared" si="1"/>
        <v>0</v>
      </c>
      <c r="O25" s="36"/>
      <c r="P25" s="36"/>
      <c r="Q25" s="36"/>
      <c r="R25" s="36"/>
    </row>
    <row r="26" spans="1:18" s="7" customFormat="1" ht="12.75" hidden="1" customHeight="1" x14ac:dyDescent="0.2">
      <c r="A26" s="86" t="s">
        <v>21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2" t="s">
        <v>102</v>
      </c>
      <c r="J26" s="36"/>
      <c r="K26" s="13"/>
      <c r="L26" s="36"/>
      <c r="M26" s="36"/>
      <c r="N26" s="36">
        <f t="shared" si="1"/>
        <v>0</v>
      </c>
      <c r="O26" s="36"/>
      <c r="P26" s="36"/>
      <c r="Q26" s="36"/>
      <c r="R26" s="36"/>
    </row>
    <row r="27" spans="1:18" s="7" customFormat="1" ht="12.75" customHeight="1" x14ac:dyDescent="0.2">
      <c r="A27" s="86" t="s">
        <v>22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146</v>
      </c>
      <c r="J27" s="36"/>
      <c r="K27" s="13"/>
      <c r="L27" s="36">
        <v>24000</v>
      </c>
      <c r="M27" s="36"/>
      <c r="N27" s="36">
        <f t="shared" si="1"/>
        <v>18000</v>
      </c>
      <c r="O27" s="36"/>
      <c r="P27" s="36">
        <v>42000</v>
      </c>
      <c r="Q27" s="36"/>
      <c r="R27" s="36"/>
    </row>
    <row r="28" spans="1:18" s="7" customFormat="1" ht="12.75" hidden="1" customHeight="1" x14ac:dyDescent="0.2">
      <c r="A28" s="86" t="s">
        <v>145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47</v>
      </c>
      <c r="J28" s="36"/>
      <c r="K28" s="36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18" s="7" customFormat="1" ht="12.75" hidden="1" customHeight="1" x14ac:dyDescent="0.2">
      <c r="A29" s="86" t="s">
        <v>23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24</v>
      </c>
      <c r="J29" s="36"/>
      <c r="K29" s="36"/>
      <c r="L29" s="36"/>
      <c r="M29" s="36"/>
      <c r="N29" s="36">
        <f t="shared" si="1"/>
        <v>0</v>
      </c>
      <c r="O29" s="36"/>
      <c r="P29" s="36"/>
      <c r="Q29" s="36"/>
      <c r="R29" s="36"/>
    </row>
    <row r="30" spans="1:18" s="7" customFormat="1" ht="12.75" customHeight="1" x14ac:dyDescent="0.2">
      <c r="A30" s="86" t="s">
        <v>27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28</v>
      </c>
      <c r="J30" s="36">
        <v>680014.4</v>
      </c>
      <c r="K30" s="36"/>
      <c r="L30" s="36"/>
      <c r="M30" s="36"/>
      <c r="N30" s="36">
        <f>P30-L30</f>
        <v>826649</v>
      </c>
      <c r="O30" s="36"/>
      <c r="P30" s="36">
        <v>826649</v>
      </c>
      <c r="Q30" s="36"/>
      <c r="R30" s="36">
        <v>861856</v>
      </c>
    </row>
    <row r="31" spans="1:18" s="7" customFormat="1" ht="12.75" customHeight="1" x14ac:dyDescent="0.2">
      <c r="A31" s="86" t="s">
        <v>25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26</v>
      </c>
      <c r="J31" s="36">
        <v>148000</v>
      </c>
      <c r="K31" s="36"/>
      <c r="L31" s="36"/>
      <c r="M31" s="36"/>
      <c r="N31" s="36">
        <f t="shared" si="1"/>
        <v>165000</v>
      </c>
      <c r="O31" s="36"/>
      <c r="P31" s="36">
        <v>165000</v>
      </c>
      <c r="Q31" s="36"/>
      <c r="R31" s="36">
        <v>165000</v>
      </c>
    </row>
    <row r="32" spans="1:18" s="7" customFormat="1" ht="12.75" customHeight="1" x14ac:dyDescent="0.2">
      <c r="A32" s="86" t="s">
        <v>140</v>
      </c>
      <c r="B32" s="111"/>
      <c r="C32" s="111"/>
      <c r="D32" s="112"/>
      <c r="E32" s="112">
        <v>5</v>
      </c>
      <c r="F32" s="113" t="s">
        <v>7</v>
      </c>
      <c r="G32" s="112" t="s">
        <v>12</v>
      </c>
      <c r="H32" s="114" t="s">
        <v>49</v>
      </c>
      <c r="J32" s="36">
        <v>735698</v>
      </c>
      <c r="K32" s="13"/>
      <c r="L32" s="36">
        <v>618148</v>
      </c>
      <c r="M32" s="36"/>
      <c r="N32" s="36">
        <f>P32-L32</f>
        <v>203501</v>
      </c>
      <c r="O32" s="36"/>
      <c r="P32" s="36">
        <v>821649</v>
      </c>
      <c r="Q32" s="36"/>
      <c r="R32" s="36">
        <v>861856</v>
      </c>
    </row>
    <row r="33" spans="1:18" s="7" customFormat="1" ht="12.75" customHeight="1" x14ac:dyDescent="0.2">
      <c r="A33" s="86" t="s">
        <v>263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8</v>
      </c>
      <c r="J33" s="36">
        <v>960122.41</v>
      </c>
      <c r="K33" s="36"/>
      <c r="L33" s="36">
        <v>443058.06</v>
      </c>
      <c r="M33" s="36"/>
      <c r="N33" s="36">
        <f t="shared" si="1"/>
        <v>747316.5</v>
      </c>
      <c r="O33" s="36"/>
      <c r="P33" s="36">
        <v>1190374.56</v>
      </c>
      <c r="Q33" s="36"/>
      <c r="R33" s="36">
        <v>1241072.6399999999</v>
      </c>
    </row>
    <row r="34" spans="1:18" s="7" customFormat="1" ht="12.75" customHeight="1" x14ac:dyDescent="0.2">
      <c r="A34" s="86" t="s">
        <v>30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10</v>
      </c>
      <c r="J34" s="36">
        <v>35700</v>
      </c>
      <c r="K34" s="36"/>
      <c r="L34" s="36">
        <v>17300</v>
      </c>
      <c r="M34" s="36"/>
      <c r="N34" s="36">
        <f t="shared" si="1"/>
        <v>22300</v>
      </c>
      <c r="O34" s="36"/>
      <c r="P34" s="36">
        <v>39600</v>
      </c>
      <c r="Q34" s="36"/>
      <c r="R34" s="36">
        <v>39600</v>
      </c>
    </row>
    <row r="35" spans="1:18" s="7" customFormat="1" ht="12.75" customHeight="1" x14ac:dyDescent="0.2">
      <c r="A35" s="86" t="s">
        <v>31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15</v>
      </c>
      <c r="J35" s="36">
        <v>98124.63</v>
      </c>
      <c r="K35" s="36"/>
      <c r="L35" s="36">
        <v>53556.41</v>
      </c>
      <c r="M35" s="36"/>
      <c r="N35" s="36">
        <f t="shared" si="1"/>
        <v>84398.65</v>
      </c>
      <c r="O35" s="36"/>
      <c r="P35" s="36">
        <v>137955.06</v>
      </c>
      <c r="Q35" s="36"/>
      <c r="R35" s="36">
        <v>172675.23</v>
      </c>
    </row>
    <row r="36" spans="1:18" s="7" customFormat="1" ht="12.75" customHeight="1" x14ac:dyDescent="0.2">
      <c r="A36" s="86" t="s">
        <v>32</v>
      </c>
      <c r="B36" s="111"/>
      <c r="C36" s="111"/>
      <c r="D36" s="112"/>
      <c r="E36" s="112">
        <v>5</v>
      </c>
      <c r="F36" s="113" t="s">
        <v>7</v>
      </c>
      <c r="G36" s="112" t="s">
        <v>29</v>
      </c>
      <c r="H36" s="112" t="s">
        <v>17</v>
      </c>
      <c r="J36" s="36">
        <v>35815.769999999997</v>
      </c>
      <c r="K36" s="36"/>
      <c r="L36" s="36">
        <v>17300</v>
      </c>
      <c r="M36" s="36"/>
      <c r="N36" s="36">
        <f t="shared" si="1"/>
        <v>22300</v>
      </c>
      <c r="O36" s="36"/>
      <c r="P36" s="36">
        <v>39600</v>
      </c>
      <c r="Q36" s="36"/>
      <c r="R36" s="36">
        <v>39600</v>
      </c>
    </row>
    <row r="37" spans="1:18" s="7" customFormat="1" ht="12.75" hidden="1" customHeight="1" x14ac:dyDescent="0.2">
      <c r="A37" s="86" t="s">
        <v>147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8</v>
      </c>
      <c r="J37" s="36"/>
      <c r="K37" s="36"/>
      <c r="L37" s="36"/>
      <c r="M37" s="36"/>
      <c r="N37" s="36">
        <f t="shared" si="1"/>
        <v>0</v>
      </c>
      <c r="O37" s="36"/>
      <c r="P37" s="36"/>
      <c r="Q37" s="36"/>
      <c r="R37" s="36"/>
    </row>
    <row r="38" spans="1:18" s="7" customFormat="1" ht="12.75" hidden="1" customHeight="1" x14ac:dyDescent="0.2">
      <c r="A38" s="86" t="s">
        <v>148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10</v>
      </c>
      <c r="J38" s="36"/>
      <c r="K38" s="36"/>
      <c r="L38" s="36"/>
      <c r="M38" s="36"/>
      <c r="N38" s="36">
        <f t="shared" si="1"/>
        <v>0</v>
      </c>
      <c r="O38" s="36"/>
      <c r="P38" s="36"/>
      <c r="Q38" s="36"/>
      <c r="R38" s="36"/>
    </row>
    <row r="39" spans="1:18" s="7" customFormat="1" ht="12.75" customHeight="1" x14ac:dyDescent="0.2">
      <c r="A39" s="86" t="s">
        <v>33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15</v>
      </c>
      <c r="J39" s="36">
        <v>180624.75</v>
      </c>
      <c r="K39" s="36"/>
      <c r="L39" s="36"/>
      <c r="M39" s="36"/>
      <c r="N39" s="36">
        <f t="shared" si="1"/>
        <v>0</v>
      </c>
      <c r="O39" s="36"/>
      <c r="P39" s="36"/>
      <c r="Q39" s="36"/>
      <c r="R39" s="36"/>
    </row>
    <row r="40" spans="1:18" s="7" customFormat="1" ht="12.75" customHeight="1" x14ac:dyDescent="0.2">
      <c r="A40" s="86" t="s">
        <v>35</v>
      </c>
      <c r="B40" s="111"/>
      <c r="C40" s="111"/>
      <c r="D40" s="112"/>
      <c r="E40" s="112">
        <v>5</v>
      </c>
      <c r="F40" s="113" t="s">
        <v>7</v>
      </c>
      <c r="G40" s="112" t="s">
        <v>34</v>
      </c>
      <c r="H40" s="112" t="s">
        <v>49</v>
      </c>
      <c r="J40" s="36">
        <v>196821.64</v>
      </c>
      <c r="K40" s="36"/>
      <c r="L40" s="36"/>
      <c r="M40" s="36"/>
      <c r="N40" s="36">
        <f t="shared" si="1"/>
        <v>170000</v>
      </c>
      <c r="O40" s="36"/>
      <c r="P40" s="36">
        <v>170000</v>
      </c>
      <c r="Q40" s="36"/>
      <c r="R40" s="36">
        <v>165000</v>
      </c>
    </row>
    <row r="41" spans="1:18" s="7" customFormat="1" ht="12.75" hidden="1" customHeight="1" x14ac:dyDescent="0.2">
      <c r="A41" s="86" t="s">
        <v>149</v>
      </c>
      <c r="B41" s="111"/>
      <c r="C41" s="111"/>
      <c r="D41" s="112"/>
      <c r="E41" s="112">
        <v>5</v>
      </c>
      <c r="F41" s="113" t="s">
        <v>7</v>
      </c>
      <c r="G41" s="112" t="s">
        <v>29</v>
      </c>
      <c r="H41" s="112" t="s">
        <v>64</v>
      </c>
      <c r="J41" s="36"/>
      <c r="K41" s="36"/>
      <c r="L41" s="36"/>
      <c r="M41" s="36"/>
      <c r="N41" s="36"/>
      <c r="O41" s="36"/>
      <c r="P41" s="36"/>
      <c r="Q41" s="36"/>
      <c r="R41" s="36"/>
    </row>
    <row r="42" spans="1:18" s="7" customFormat="1" ht="18.95" customHeight="1" x14ac:dyDescent="0.2">
      <c r="A42" s="63" t="s">
        <v>36</v>
      </c>
      <c r="B42" s="26"/>
      <c r="C42" s="26"/>
      <c r="J42" s="161">
        <f>SUM(J16:J41)</f>
        <v>11957815.420000002</v>
      </c>
      <c r="K42" s="162"/>
      <c r="L42" s="161">
        <f>SUM(L16:L41)</f>
        <v>5387640.1399999997</v>
      </c>
      <c r="M42" s="36"/>
      <c r="N42" s="161">
        <f>SUM(N16:N41)</f>
        <v>9141552.3000000007</v>
      </c>
      <c r="O42" s="36"/>
      <c r="P42" s="161">
        <f>SUM(P16:P41)</f>
        <v>14529192.440000001</v>
      </c>
      <c r="Q42" s="36"/>
      <c r="R42" s="161">
        <f>SUM(R16:R41)</f>
        <v>15079349.610000001</v>
      </c>
    </row>
    <row r="43" spans="1:18" s="7" customFormat="1" ht="6" customHeight="1" x14ac:dyDescent="0.2">
      <c r="A43" s="17"/>
      <c r="B43" s="17"/>
      <c r="C43" s="17"/>
      <c r="J43" s="162"/>
      <c r="K43" s="162"/>
      <c r="L43" s="36"/>
      <c r="M43" s="36"/>
      <c r="N43" s="36"/>
      <c r="O43" s="36"/>
      <c r="P43" s="36"/>
      <c r="Q43" s="36"/>
      <c r="R43" s="36"/>
    </row>
    <row r="44" spans="1:18" s="7" customFormat="1" ht="12.75" customHeight="1" x14ac:dyDescent="0.2">
      <c r="A44" s="68" t="s">
        <v>188</v>
      </c>
      <c r="B44" s="12"/>
      <c r="C44" s="12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7" customFormat="1" ht="12.75" customHeight="1" x14ac:dyDescent="0.2">
      <c r="A45" s="86" t="s">
        <v>37</v>
      </c>
      <c r="B45" s="111"/>
      <c r="C45" s="111"/>
      <c r="D45" s="112"/>
      <c r="E45" s="112">
        <v>5</v>
      </c>
      <c r="F45" s="113" t="s">
        <v>12</v>
      </c>
      <c r="G45" s="112" t="s">
        <v>7</v>
      </c>
      <c r="H45" s="112" t="s">
        <v>8</v>
      </c>
      <c r="J45" s="36">
        <v>51794</v>
      </c>
      <c r="K45" s="36"/>
      <c r="L45" s="36"/>
      <c r="M45" s="36"/>
      <c r="N45" s="36">
        <f t="shared" ref="N45:N47" si="2">P45-L45</f>
        <v>90000</v>
      </c>
      <c r="O45" s="36"/>
      <c r="P45" s="36">
        <v>90000</v>
      </c>
      <c r="Q45" s="36"/>
      <c r="R45" s="36">
        <v>90000</v>
      </c>
    </row>
    <row r="46" spans="1:18" s="7" customFormat="1" ht="12.75" hidden="1" customHeight="1" x14ac:dyDescent="0.2">
      <c r="A46" s="86" t="s">
        <v>38</v>
      </c>
      <c r="B46" s="111"/>
      <c r="C46" s="111"/>
      <c r="E46" s="112">
        <v>5</v>
      </c>
      <c r="F46" s="113" t="s">
        <v>12</v>
      </c>
      <c r="G46" s="112" t="s">
        <v>7</v>
      </c>
      <c r="H46" s="112" t="s">
        <v>10</v>
      </c>
      <c r="J46" s="36"/>
      <c r="K46" s="36"/>
      <c r="L46" s="36"/>
      <c r="M46" s="36"/>
      <c r="N46" s="36">
        <f t="shared" si="2"/>
        <v>0</v>
      </c>
      <c r="O46" s="36"/>
      <c r="P46" s="36"/>
      <c r="Q46" s="36"/>
      <c r="R46" s="36"/>
    </row>
    <row r="47" spans="1:18" s="7" customFormat="1" ht="12.75" customHeight="1" x14ac:dyDescent="0.2">
      <c r="A47" s="86" t="s">
        <v>39</v>
      </c>
      <c r="B47" s="111"/>
      <c r="C47" s="111"/>
      <c r="E47" s="112">
        <v>5</v>
      </c>
      <c r="F47" s="113" t="s">
        <v>12</v>
      </c>
      <c r="G47" s="112" t="s">
        <v>12</v>
      </c>
      <c r="H47" s="112" t="s">
        <v>8</v>
      </c>
      <c r="J47" s="36">
        <v>81890</v>
      </c>
      <c r="K47" s="36"/>
      <c r="L47" s="36"/>
      <c r="M47" s="36"/>
      <c r="N47" s="36">
        <f t="shared" si="2"/>
        <v>140000</v>
      </c>
      <c r="O47" s="36"/>
      <c r="P47" s="36">
        <v>140000</v>
      </c>
      <c r="Q47" s="36"/>
      <c r="R47" s="36">
        <v>140000</v>
      </c>
    </row>
    <row r="48" spans="1:18" s="7" customFormat="1" ht="12.75" hidden="1" customHeight="1" x14ac:dyDescent="0.2">
      <c r="A48" s="86" t="s">
        <v>40</v>
      </c>
      <c r="B48" s="111"/>
      <c r="C48" s="111"/>
      <c r="D48" s="112"/>
      <c r="E48" s="112">
        <v>5</v>
      </c>
      <c r="F48" s="113" t="s">
        <v>12</v>
      </c>
      <c r="G48" s="112" t="s">
        <v>29</v>
      </c>
      <c r="H48" s="112" t="s">
        <v>8</v>
      </c>
      <c r="J48" s="36"/>
      <c r="K48" s="36"/>
      <c r="L48" s="36"/>
      <c r="M48" s="36"/>
      <c r="N48" s="36"/>
      <c r="O48" s="36"/>
      <c r="P48" s="36"/>
      <c r="Q48" s="36"/>
      <c r="R48" s="36"/>
    </row>
    <row r="49" spans="1:18" s="7" customFormat="1" ht="12.75" hidden="1" customHeight="1" x14ac:dyDescent="0.2">
      <c r="A49" s="86" t="s">
        <v>41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10</v>
      </c>
      <c r="J49" s="36"/>
      <c r="K49" s="36"/>
      <c r="L49" s="36"/>
      <c r="M49" s="36"/>
      <c r="N49" s="36">
        <f t="shared" ref="N49:N112" si="3">P49-L49</f>
        <v>0</v>
      </c>
      <c r="O49" s="36"/>
      <c r="P49" s="36"/>
      <c r="Q49" s="36"/>
      <c r="R49" s="36"/>
    </row>
    <row r="50" spans="1:18" s="7" customFormat="1" ht="12.75" hidden="1" customHeight="1" x14ac:dyDescent="0.2">
      <c r="A50" s="86" t="s">
        <v>42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17</v>
      </c>
      <c r="J50" s="36"/>
      <c r="K50" s="36"/>
      <c r="L50" s="36"/>
      <c r="M50" s="36"/>
      <c r="N50" s="36">
        <f t="shared" si="3"/>
        <v>0</v>
      </c>
      <c r="O50" s="36"/>
      <c r="P50" s="36"/>
      <c r="Q50" s="36"/>
      <c r="R50" s="36"/>
    </row>
    <row r="51" spans="1:18" s="7" customFormat="1" ht="12.75" hidden="1" customHeight="1" x14ac:dyDescent="0.2">
      <c r="A51" s="86" t="s">
        <v>43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64</v>
      </c>
      <c r="J51" s="36"/>
      <c r="K51" s="36"/>
      <c r="L51" s="36"/>
      <c r="M51" s="36"/>
      <c r="N51" s="36">
        <f t="shared" si="3"/>
        <v>0</v>
      </c>
      <c r="O51" s="36"/>
      <c r="P51" s="36"/>
      <c r="Q51" s="36"/>
      <c r="R51" s="36"/>
    </row>
    <row r="52" spans="1:18" s="7" customFormat="1" ht="12.75" hidden="1" customHeight="1" x14ac:dyDescent="0.2">
      <c r="A52" s="86" t="s">
        <v>88</v>
      </c>
      <c r="B52" s="111"/>
      <c r="C52" s="111"/>
      <c r="E52" s="112">
        <v>5</v>
      </c>
      <c r="F52" s="113" t="s">
        <v>12</v>
      </c>
      <c r="G52" s="112" t="s">
        <v>29</v>
      </c>
      <c r="H52" s="112" t="s">
        <v>60</v>
      </c>
      <c r="J52" s="36"/>
      <c r="K52" s="36"/>
      <c r="L52" s="36"/>
      <c r="M52" s="36"/>
      <c r="N52" s="36">
        <f t="shared" si="3"/>
        <v>0</v>
      </c>
      <c r="O52" s="36"/>
      <c r="P52" s="36"/>
      <c r="Q52" s="36"/>
      <c r="R52" s="36"/>
    </row>
    <row r="53" spans="1:18" s="7" customFormat="1" ht="12.75" hidden="1" customHeight="1" x14ac:dyDescent="0.2">
      <c r="A53" s="86" t="s">
        <v>150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19</v>
      </c>
      <c r="J53" s="36"/>
      <c r="K53" s="39"/>
      <c r="L53" s="36"/>
      <c r="M53" s="36"/>
      <c r="N53" s="36">
        <f t="shared" si="3"/>
        <v>0</v>
      </c>
      <c r="O53" s="36"/>
      <c r="P53" s="36"/>
      <c r="Q53" s="36"/>
      <c r="R53" s="36"/>
    </row>
    <row r="54" spans="1:18" s="7" customFormat="1" ht="12.75" hidden="1" customHeight="1" x14ac:dyDescent="0.2">
      <c r="A54" s="86" t="s">
        <v>151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82</v>
      </c>
      <c r="J54" s="36"/>
      <c r="K54" s="39"/>
      <c r="L54" s="36"/>
      <c r="M54" s="36"/>
      <c r="N54" s="36">
        <f t="shared" si="3"/>
        <v>0</v>
      </c>
      <c r="O54" s="36"/>
      <c r="P54" s="36"/>
      <c r="Q54" s="36"/>
      <c r="R54" s="36"/>
    </row>
    <row r="55" spans="1:18" s="7" customFormat="1" ht="12.75" customHeight="1" x14ac:dyDescent="0.2">
      <c r="A55" s="86" t="s">
        <v>44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45</v>
      </c>
      <c r="J55" s="36">
        <v>90000</v>
      </c>
      <c r="K55" s="39"/>
      <c r="L55" s="36">
        <v>27000</v>
      </c>
      <c r="M55" s="36"/>
      <c r="N55" s="36">
        <f t="shared" si="3"/>
        <v>153000</v>
      </c>
      <c r="O55" s="36"/>
      <c r="P55" s="36">
        <v>180000</v>
      </c>
      <c r="Q55" s="36"/>
      <c r="R55" s="36">
        <v>180000</v>
      </c>
    </row>
    <row r="56" spans="1:18" s="7" customFormat="1" ht="12.75" hidden="1" customHeight="1" x14ac:dyDescent="0.2">
      <c r="A56" s="86" t="s">
        <v>152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102</v>
      </c>
      <c r="J56" s="36"/>
      <c r="K56" s="36"/>
      <c r="L56" s="36"/>
      <c r="M56" s="36"/>
      <c r="N56" s="36">
        <f t="shared" si="3"/>
        <v>0</v>
      </c>
      <c r="O56" s="36"/>
      <c r="P56" s="36"/>
      <c r="Q56" s="36"/>
      <c r="R56" s="36"/>
    </row>
    <row r="57" spans="1:18" s="7" customFormat="1" ht="12.75" hidden="1" customHeight="1" x14ac:dyDescent="0.2">
      <c r="A57" s="86" t="s">
        <v>153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146</v>
      </c>
      <c r="J57" s="36"/>
      <c r="K57" s="36"/>
      <c r="L57" s="36"/>
      <c r="M57" s="36"/>
      <c r="N57" s="36">
        <f t="shared" si="3"/>
        <v>0</v>
      </c>
      <c r="O57" s="36"/>
      <c r="P57" s="36"/>
      <c r="Q57" s="36"/>
      <c r="R57" s="36"/>
    </row>
    <row r="58" spans="1:18" s="7" customFormat="1" ht="12.75" hidden="1" customHeight="1" x14ac:dyDescent="0.2">
      <c r="A58" s="86" t="s">
        <v>46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47</v>
      </c>
      <c r="J58" s="36"/>
      <c r="K58" s="36"/>
      <c r="L58" s="36"/>
      <c r="M58" s="36"/>
      <c r="N58" s="36">
        <f t="shared" si="3"/>
        <v>0</v>
      </c>
      <c r="O58" s="36"/>
      <c r="P58" s="36"/>
      <c r="Q58" s="36"/>
      <c r="R58" s="36"/>
    </row>
    <row r="59" spans="1:18" s="7" customFormat="1" ht="12.75" hidden="1" customHeight="1" x14ac:dyDescent="0.2">
      <c r="A59" s="86" t="s">
        <v>154</v>
      </c>
      <c r="B59" s="111"/>
      <c r="C59" s="111"/>
      <c r="E59" s="112">
        <v>5</v>
      </c>
      <c r="F59" s="113" t="s">
        <v>12</v>
      </c>
      <c r="G59" s="112" t="s">
        <v>29</v>
      </c>
      <c r="H59" s="112" t="s">
        <v>15</v>
      </c>
      <c r="J59" s="36"/>
      <c r="K59" s="36"/>
      <c r="L59" s="36"/>
      <c r="M59" s="36"/>
      <c r="N59" s="36">
        <f t="shared" si="3"/>
        <v>0</v>
      </c>
      <c r="O59" s="36"/>
      <c r="P59" s="36"/>
      <c r="Q59" s="36"/>
      <c r="R59" s="36"/>
    </row>
    <row r="60" spans="1:18" s="7" customFormat="1" ht="12.75" hidden="1" customHeight="1" x14ac:dyDescent="0.2">
      <c r="A60" s="86" t="s">
        <v>51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24</v>
      </c>
      <c r="J60" s="36"/>
      <c r="K60" s="36"/>
      <c r="L60" s="36"/>
      <c r="M60" s="36"/>
      <c r="N60" s="36">
        <f t="shared" si="3"/>
        <v>0</v>
      </c>
      <c r="O60" s="36"/>
      <c r="P60" s="36"/>
      <c r="Q60" s="36"/>
      <c r="R60" s="36"/>
    </row>
    <row r="61" spans="1:18" s="7" customFormat="1" ht="12.75" customHeight="1" x14ac:dyDescent="0.2">
      <c r="A61" s="86" t="s">
        <v>48</v>
      </c>
      <c r="B61" s="111"/>
      <c r="C61" s="111"/>
      <c r="E61" s="112">
        <v>5</v>
      </c>
      <c r="F61" s="113" t="s">
        <v>12</v>
      </c>
      <c r="G61" s="112" t="s">
        <v>29</v>
      </c>
      <c r="H61" s="114" t="s">
        <v>49</v>
      </c>
      <c r="J61" s="36">
        <v>4980</v>
      </c>
      <c r="K61" s="36"/>
      <c r="L61" s="36"/>
      <c r="M61" s="36"/>
      <c r="N61" s="36">
        <f t="shared" si="3"/>
        <v>30000</v>
      </c>
      <c r="O61" s="36"/>
      <c r="P61" s="36">
        <v>30000</v>
      </c>
      <c r="Q61" s="36"/>
      <c r="R61" s="36">
        <v>30000</v>
      </c>
    </row>
    <row r="62" spans="1:18" s="7" customFormat="1" ht="12.75" hidden="1" customHeight="1" x14ac:dyDescent="0.2">
      <c r="A62" s="86" t="s">
        <v>50</v>
      </c>
      <c r="B62" s="111"/>
      <c r="C62" s="111"/>
      <c r="D62" s="112"/>
      <c r="E62" s="112">
        <v>5</v>
      </c>
      <c r="F62" s="113" t="s">
        <v>12</v>
      </c>
      <c r="G62" s="112" t="s">
        <v>34</v>
      </c>
      <c r="H62" s="112" t="s">
        <v>8</v>
      </c>
      <c r="J62" s="36"/>
      <c r="K62" s="36"/>
      <c r="L62" s="36"/>
      <c r="M62" s="36"/>
      <c r="N62" s="36">
        <f t="shared" si="3"/>
        <v>0</v>
      </c>
      <c r="O62" s="36"/>
      <c r="P62" s="36"/>
      <c r="Q62" s="36"/>
      <c r="R62" s="36"/>
    </row>
    <row r="63" spans="1:18" s="7" customFormat="1" ht="12.75" hidden="1" customHeight="1" x14ac:dyDescent="0.2">
      <c r="A63" s="86" t="s">
        <v>52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10</v>
      </c>
      <c r="J63" s="36"/>
      <c r="K63" s="36"/>
      <c r="L63" s="36"/>
      <c r="M63" s="36"/>
      <c r="N63" s="36">
        <f t="shared" si="3"/>
        <v>0</v>
      </c>
      <c r="O63" s="36"/>
      <c r="P63" s="36"/>
      <c r="Q63" s="36"/>
      <c r="R63" s="36"/>
    </row>
    <row r="64" spans="1:18" s="7" customFormat="1" ht="12.75" hidden="1" customHeight="1" x14ac:dyDescent="0.2">
      <c r="A64" s="86" t="s">
        <v>48</v>
      </c>
      <c r="B64" s="111"/>
      <c r="C64" s="111"/>
      <c r="D64" s="112"/>
      <c r="E64" s="112">
        <v>5</v>
      </c>
      <c r="F64" s="113" t="s">
        <v>12</v>
      </c>
      <c r="G64" s="112" t="s">
        <v>29</v>
      </c>
      <c r="H64" s="114" t="s">
        <v>49</v>
      </c>
      <c r="J64" s="36"/>
      <c r="K64" s="36"/>
      <c r="L64" s="36"/>
      <c r="M64" s="36"/>
      <c r="N64" s="36">
        <f t="shared" si="3"/>
        <v>0</v>
      </c>
      <c r="O64" s="36"/>
      <c r="P64" s="36"/>
      <c r="Q64" s="36"/>
      <c r="R64" s="36"/>
    </row>
    <row r="65" spans="1:18" s="7" customFormat="1" ht="12.75" customHeight="1" x14ac:dyDescent="0.2">
      <c r="A65" s="86" t="s">
        <v>53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8</v>
      </c>
      <c r="J65" s="36">
        <v>5000</v>
      </c>
      <c r="K65" s="36"/>
      <c r="L65" s="36"/>
      <c r="M65" s="36"/>
      <c r="N65" s="36">
        <f t="shared" si="3"/>
        <v>5000</v>
      </c>
      <c r="O65" s="36"/>
      <c r="P65" s="36">
        <v>5000</v>
      </c>
      <c r="Q65" s="36"/>
      <c r="R65" s="36">
        <v>5000</v>
      </c>
    </row>
    <row r="66" spans="1:18" s="7" customFormat="1" ht="12.75" customHeight="1" x14ac:dyDescent="0.2">
      <c r="A66" s="86" t="s">
        <v>55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10</v>
      </c>
      <c r="J66" s="36">
        <v>21678.36</v>
      </c>
      <c r="K66" s="36"/>
      <c r="L66" s="36">
        <v>3729.94</v>
      </c>
      <c r="M66" s="36"/>
      <c r="N66" s="36">
        <f t="shared" si="3"/>
        <v>20270.060000000001</v>
      </c>
      <c r="O66" s="36"/>
      <c r="P66" s="36">
        <v>24000</v>
      </c>
      <c r="Q66" s="36"/>
      <c r="R66" s="36">
        <v>24000</v>
      </c>
    </row>
    <row r="67" spans="1:18" s="7" customFormat="1" ht="12.75" customHeight="1" x14ac:dyDescent="0.2">
      <c r="A67" s="86" t="s">
        <v>56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15</v>
      </c>
      <c r="J67" s="36">
        <v>102544</v>
      </c>
      <c r="K67" s="36"/>
      <c r="L67" s="36">
        <v>24121.29</v>
      </c>
      <c r="M67" s="36"/>
      <c r="N67" s="36">
        <f t="shared" si="3"/>
        <v>155878.71</v>
      </c>
      <c r="O67" s="36"/>
      <c r="P67" s="36">
        <v>180000</v>
      </c>
      <c r="Q67" s="36"/>
      <c r="R67" s="36">
        <v>180000</v>
      </c>
    </row>
    <row r="68" spans="1:18" s="7" customFormat="1" ht="12.75" hidden="1" customHeight="1" x14ac:dyDescent="0.2">
      <c r="A68" s="86" t="s">
        <v>57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17</v>
      </c>
      <c r="J68" s="36"/>
      <c r="K68" s="36"/>
      <c r="L68" s="36"/>
      <c r="M68" s="36"/>
      <c r="N68" s="36">
        <f t="shared" si="3"/>
        <v>0</v>
      </c>
      <c r="O68" s="36"/>
      <c r="P68" s="36"/>
      <c r="Q68" s="36"/>
      <c r="R68" s="36"/>
    </row>
    <row r="69" spans="1:18" s="7" customFormat="1" ht="12.75" hidden="1" customHeight="1" x14ac:dyDescent="0.2">
      <c r="A69" s="86" t="s">
        <v>66</v>
      </c>
      <c r="B69" s="111"/>
      <c r="C69" s="111"/>
      <c r="E69" s="112">
        <v>5</v>
      </c>
      <c r="F69" s="113" t="s">
        <v>12</v>
      </c>
      <c r="G69" s="112" t="s">
        <v>67</v>
      </c>
      <c r="H69" s="112" t="s">
        <v>8</v>
      </c>
      <c r="J69" s="36"/>
      <c r="K69" s="36"/>
      <c r="L69" s="36"/>
      <c r="M69" s="36"/>
      <c r="N69" s="36">
        <f t="shared" si="3"/>
        <v>0</v>
      </c>
      <c r="O69" s="36"/>
      <c r="P69" s="36"/>
      <c r="Q69" s="36"/>
      <c r="R69" s="36"/>
    </row>
    <row r="70" spans="1:18" s="7" customFormat="1" ht="12.75" customHeight="1" x14ac:dyDescent="0.2">
      <c r="A70" s="86" t="s">
        <v>73</v>
      </c>
      <c r="B70" s="111"/>
      <c r="C70" s="111"/>
      <c r="E70" s="112">
        <v>5</v>
      </c>
      <c r="F70" s="113" t="s">
        <v>12</v>
      </c>
      <c r="G70" s="112" t="s">
        <v>74</v>
      </c>
      <c r="H70" s="112" t="s">
        <v>64</v>
      </c>
      <c r="J70" s="36">
        <v>22500</v>
      </c>
      <c r="K70" s="36"/>
      <c r="L70" s="36"/>
      <c r="M70" s="36"/>
      <c r="N70" s="36">
        <f t="shared" ref="N70:N75" si="4">P70-L70</f>
        <v>60000</v>
      </c>
      <c r="O70" s="36"/>
      <c r="P70" s="36">
        <v>60000</v>
      </c>
      <c r="Q70" s="36"/>
      <c r="R70" s="36">
        <v>60000</v>
      </c>
    </row>
    <row r="71" spans="1:18" s="7" customFormat="1" ht="12.75" customHeight="1" x14ac:dyDescent="0.2">
      <c r="A71" s="86" t="s">
        <v>76</v>
      </c>
      <c r="B71" s="111"/>
      <c r="C71" s="111"/>
      <c r="E71" s="112">
        <v>5</v>
      </c>
      <c r="F71" s="113" t="s">
        <v>12</v>
      </c>
      <c r="G71" s="112" t="s">
        <v>74</v>
      </c>
      <c r="H71" s="112" t="s">
        <v>60</v>
      </c>
      <c r="J71" s="36"/>
      <c r="K71" s="36"/>
      <c r="L71" s="36"/>
      <c r="M71" s="36"/>
      <c r="N71" s="36">
        <f t="shared" si="4"/>
        <v>50000</v>
      </c>
      <c r="O71" s="36"/>
      <c r="P71" s="36">
        <v>50000</v>
      </c>
      <c r="Q71" s="36"/>
      <c r="R71" s="36">
        <v>50000</v>
      </c>
    </row>
    <row r="72" spans="1:18" s="7" customFormat="1" ht="12.75" hidden="1" customHeight="1" x14ac:dyDescent="0.2">
      <c r="A72" s="86" t="s">
        <v>75</v>
      </c>
      <c r="B72" s="111"/>
      <c r="C72" s="111"/>
      <c r="E72" s="112">
        <v>5</v>
      </c>
      <c r="F72" s="113" t="s">
        <v>12</v>
      </c>
      <c r="G72" s="112" t="s">
        <v>74</v>
      </c>
      <c r="H72" s="112" t="s">
        <v>19</v>
      </c>
      <c r="J72" s="36">
        <v>0</v>
      </c>
      <c r="K72" s="36"/>
      <c r="L72" s="36"/>
      <c r="M72" s="36"/>
      <c r="N72" s="36">
        <f t="shared" si="4"/>
        <v>0</v>
      </c>
      <c r="O72" s="36"/>
      <c r="P72" s="36"/>
      <c r="Q72" s="36"/>
      <c r="R72" s="36"/>
    </row>
    <row r="73" spans="1:18" s="7" customFormat="1" ht="12.75" customHeight="1" x14ac:dyDescent="0.2">
      <c r="A73" s="86" t="s">
        <v>77</v>
      </c>
      <c r="B73" s="111"/>
      <c r="C73" s="111"/>
      <c r="E73" s="112">
        <v>5</v>
      </c>
      <c r="F73" s="113" t="s">
        <v>12</v>
      </c>
      <c r="G73" s="112" t="s">
        <v>74</v>
      </c>
      <c r="H73" s="112" t="s">
        <v>49</v>
      </c>
      <c r="J73" s="36"/>
      <c r="K73" s="36"/>
      <c r="L73" s="36"/>
      <c r="M73" s="36"/>
      <c r="N73" s="36">
        <f t="shared" si="4"/>
        <v>20000</v>
      </c>
      <c r="O73" s="36"/>
      <c r="P73" s="36">
        <v>20000</v>
      </c>
      <c r="Q73" s="36"/>
      <c r="R73" s="36">
        <v>20000</v>
      </c>
    </row>
    <row r="74" spans="1:18" s="7" customFormat="1" ht="12.75" customHeight="1" x14ac:dyDescent="0.2">
      <c r="A74" s="86" t="s">
        <v>61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8</v>
      </c>
      <c r="J74" s="36"/>
      <c r="K74" s="36"/>
      <c r="L74" s="36"/>
      <c r="M74" s="36"/>
      <c r="N74" s="36">
        <f t="shared" si="4"/>
        <v>10000</v>
      </c>
      <c r="O74" s="36"/>
      <c r="P74" s="36">
        <v>10000</v>
      </c>
      <c r="Q74" s="36"/>
      <c r="R74" s="36">
        <v>10000</v>
      </c>
    </row>
    <row r="75" spans="1:18" s="7" customFormat="1" ht="12.75" customHeight="1" x14ac:dyDescent="0.2">
      <c r="A75" s="86" t="s">
        <v>62</v>
      </c>
      <c r="B75" s="111"/>
      <c r="C75" s="111"/>
      <c r="E75" s="112">
        <v>5</v>
      </c>
      <c r="F75" s="113" t="s">
        <v>12</v>
      </c>
      <c r="G75" s="112" t="s">
        <v>59</v>
      </c>
      <c r="H75" s="112" t="s">
        <v>10</v>
      </c>
      <c r="J75" s="36"/>
      <c r="K75" s="36"/>
      <c r="L75" s="36"/>
      <c r="M75" s="36"/>
      <c r="N75" s="36">
        <f t="shared" si="4"/>
        <v>20000</v>
      </c>
      <c r="O75" s="36"/>
      <c r="P75" s="36">
        <v>20000</v>
      </c>
      <c r="Q75" s="36"/>
      <c r="R75" s="36">
        <v>20000</v>
      </c>
    </row>
    <row r="76" spans="1:18" s="7" customFormat="1" ht="12.75" hidden="1" customHeight="1" x14ac:dyDescent="0.2">
      <c r="A76" s="86" t="s">
        <v>63</v>
      </c>
      <c r="B76" s="111"/>
      <c r="C76" s="111"/>
      <c r="E76" s="112">
        <v>5</v>
      </c>
      <c r="F76" s="113" t="s">
        <v>12</v>
      </c>
      <c r="G76" s="112" t="s">
        <v>59</v>
      </c>
      <c r="H76" s="112" t="s">
        <v>64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155</v>
      </c>
      <c r="B77" s="111"/>
      <c r="C77" s="111"/>
      <c r="E77" s="112">
        <v>5</v>
      </c>
      <c r="F77" s="113" t="s">
        <v>12</v>
      </c>
      <c r="G77" s="112" t="s">
        <v>59</v>
      </c>
      <c r="H77" s="112" t="s">
        <v>15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156</v>
      </c>
      <c r="B78" s="111"/>
      <c r="C78" s="111"/>
      <c r="E78" s="112">
        <v>5</v>
      </c>
      <c r="F78" s="112" t="s">
        <v>12</v>
      </c>
      <c r="G78" s="112" t="s">
        <v>59</v>
      </c>
      <c r="H78" s="112" t="s">
        <v>17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63</v>
      </c>
      <c r="B79" s="111"/>
      <c r="C79" s="111"/>
      <c r="E79" s="112">
        <v>5</v>
      </c>
      <c r="F79" s="113" t="s">
        <v>12</v>
      </c>
      <c r="G79" s="112" t="s">
        <v>59</v>
      </c>
      <c r="H79" s="112" t="s">
        <v>64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customHeight="1" x14ac:dyDescent="0.2">
      <c r="A80" s="86" t="s">
        <v>58</v>
      </c>
      <c r="B80" s="111"/>
      <c r="C80" s="111"/>
      <c r="E80" s="112">
        <v>5</v>
      </c>
      <c r="F80" s="112" t="s">
        <v>12</v>
      </c>
      <c r="G80" s="112" t="s">
        <v>59</v>
      </c>
      <c r="H80" s="112" t="s">
        <v>60</v>
      </c>
      <c r="J80" s="36"/>
      <c r="K80" s="36"/>
      <c r="L80" s="36"/>
      <c r="M80" s="36"/>
      <c r="N80" s="36">
        <f t="shared" ref="N80" si="5">P80-L80</f>
        <v>15000</v>
      </c>
      <c r="O80" s="36"/>
      <c r="P80" s="36">
        <v>15000</v>
      </c>
      <c r="Q80" s="36"/>
      <c r="R80" s="36">
        <v>15000</v>
      </c>
    </row>
    <row r="81" spans="1:18" s="7" customFormat="1" ht="12.75" customHeight="1" x14ac:dyDescent="0.2">
      <c r="A81" s="86" t="s">
        <v>65</v>
      </c>
      <c r="B81" s="111"/>
      <c r="C81" s="111"/>
      <c r="E81" s="112">
        <v>5</v>
      </c>
      <c r="F81" s="113" t="s">
        <v>12</v>
      </c>
      <c r="G81" s="112" t="s">
        <v>59</v>
      </c>
      <c r="H81" s="112" t="s">
        <v>19</v>
      </c>
      <c r="J81" s="36">
        <v>23716</v>
      </c>
      <c r="K81" s="36"/>
      <c r="L81" s="36">
        <v>4018</v>
      </c>
      <c r="M81" s="36"/>
      <c r="N81" s="36">
        <f t="shared" si="3"/>
        <v>55982</v>
      </c>
      <c r="O81" s="36"/>
      <c r="P81" s="36">
        <v>60000</v>
      </c>
      <c r="Q81" s="36"/>
      <c r="R81" s="36">
        <v>60000</v>
      </c>
    </row>
    <row r="82" spans="1:18" s="7" customFormat="1" ht="12.75" hidden="1" customHeight="1" x14ac:dyDescent="0.2">
      <c r="A82" s="86" t="s">
        <v>157</v>
      </c>
      <c r="B82" s="111"/>
      <c r="C82" s="111"/>
      <c r="E82" s="112">
        <v>5</v>
      </c>
      <c r="F82" s="113" t="s">
        <v>12</v>
      </c>
      <c r="G82" s="112" t="s">
        <v>93</v>
      </c>
      <c r="H82" s="112" t="s">
        <v>8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66</v>
      </c>
      <c r="B83" s="111"/>
      <c r="C83" s="111"/>
      <c r="E83" s="112">
        <v>5</v>
      </c>
      <c r="F83" s="113" t="s">
        <v>12</v>
      </c>
      <c r="G83" s="112" t="s">
        <v>67</v>
      </c>
      <c r="H83" s="112" t="s">
        <v>8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68</v>
      </c>
      <c r="B84" s="111"/>
      <c r="C84" s="111"/>
      <c r="E84" s="112">
        <v>5</v>
      </c>
      <c r="F84" s="113" t="s">
        <v>12</v>
      </c>
      <c r="G84" s="112" t="s">
        <v>67</v>
      </c>
      <c r="H84" s="112" t="s">
        <v>10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158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8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159</v>
      </c>
      <c r="B86" s="111"/>
      <c r="C86" s="111"/>
      <c r="E86" s="112">
        <v>5</v>
      </c>
      <c r="F86" s="113" t="s">
        <v>12</v>
      </c>
      <c r="G86" s="112" t="s">
        <v>70</v>
      </c>
      <c r="H86" s="112" t="s">
        <v>10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69</v>
      </c>
      <c r="B87" s="111"/>
      <c r="C87" s="111"/>
      <c r="E87" s="112">
        <v>5</v>
      </c>
      <c r="F87" s="113" t="s">
        <v>12</v>
      </c>
      <c r="G87" s="112" t="s">
        <v>70</v>
      </c>
      <c r="H87" s="112" t="s">
        <v>15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160</v>
      </c>
      <c r="B88" s="111"/>
      <c r="C88" s="111"/>
      <c r="E88" s="112">
        <v>5</v>
      </c>
      <c r="F88" s="113" t="s">
        <v>12</v>
      </c>
      <c r="G88" s="112" t="s">
        <v>163</v>
      </c>
      <c r="H88" s="112" t="s">
        <v>8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161</v>
      </c>
      <c r="B89" s="111"/>
      <c r="C89" s="111"/>
      <c r="E89" s="112">
        <v>5</v>
      </c>
      <c r="F89" s="113" t="s">
        <v>12</v>
      </c>
      <c r="G89" s="112" t="s">
        <v>163</v>
      </c>
      <c r="H89" s="114" t="s">
        <v>49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71</v>
      </c>
      <c r="B90" s="111"/>
      <c r="C90" s="111"/>
      <c r="E90" s="112">
        <v>5</v>
      </c>
      <c r="F90" s="113" t="s">
        <v>12</v>
      </c>
      <c r="G90" s="112" t="s">
        <v>163</v>
      </c>
      <c r="H90" s="112" t="s">
        <v>10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162</v>
      </c>
      <c r="B91" s="111"/>
      <c r="C91" s="111"/>
      <c r="E91" s="112">
        <v>5</v>
      </c>
      <c r="F91" s="113" t="s">
        <v>12</v>
      </c>
      <c r="G91" s="112" t="s">
        <v>163</v>
      </c>
      <c r="H91" s="112" t="s">
        <v>15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hidden="1" customHeight="1" x14ac:dyDescent="0.2">
      <c r="A92" s="86" t="s">
        <v>72</v>
      </c>
      <c r="B92" s="111"/>
      <c r="C92" s="111"/>
      <c r="E92" s="112">
        <v>5</v>
      </c>
      <c r="F92" s="113" t="s">
        <v>12</v>
      </c>
      <c r="G92" s="112" t="s">
        <v>70</v>
      </c>
      <c r="H92" s="112" t="s">
        <v>49</v>
      </c>
      <c r="J92" s="36"/>
      <c r="K92" s="36"/>
      <c r="L92" s="36"/>
      <c r="M92" s="36"/>
      <c r="N92" s="36">
        <f t="shared" si="3"/>
        <v>0</v>
      </c>
      <c r="O92" s="36"/>
      <c r="P92" s="36"/>
      <c r="Q92" s="36"/>
      <c r="R92" s="36"/>
    </row>
    <row r="93" spans="1:18" s="7" customFormat="1" ht="12.75" hidden="1" customHeight="1" x14ac:dyDescent="0.2">
      <c r="A93" s="86" t="s">
        <v>164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10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165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15</v>
      </c>
      <c r="J94" s="36"/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166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17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167</v>
      </c>
      <c r="B96" s="111"/>
      <c r="C96" s="111"/>
      <c r="E96" s="112">
        <v>5</v>
      </c>
      <c r="F96" s="113" t="s">
        <v>12</v>
      </c>
      <c r="G96" s="112" t="s">
        <v>74</v>
      </c>
      <c r="H96" s="112" t="s">
        <v>8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168</v>
      </c>
      <c r="B97" s="111"/>
      <c r="C97" s="111"/>
      <c r="E97" s="112">
        <v>5</v>
      </c>
      <c r="F97" s="113" t="s">
        <v>12</v>
      </c>
      <c r="G97" s="112" t="s">
        <v>74</v>
      </c>
      <c r="H97" s="112" t="s">
        <v>45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76</v>
      </c>
      <c r="B98" s="111"/>
      <c r="C98" s="111"/>
      <c r="E98" s="112">
        <v>5</v>
      </c>
      <c r="F98" s="113" t="s">
        <v>12</v>
      </c>
      <c r="G98" s="112" t="s">
        <v>74</v>
      </c>
      <c r="H98" s="112" t="s">
        <v>60</v>
      </c>
      <c r="J98" s="36"/>
      <c r="K98" s="36"/>
      <c r="L98" s="36"/>
      <c r="M98" s="36"/>
      <c r="N98" s="36">
        <f>P98-L98</f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165</v>
      </c>
      <c r="B99" s="111"/>
      <c r="C99" s="111"/>
      <c r="E99" s="112">
        <v>5</v>
      </c>
      <c r="F99" s="113" t="s">
        <v>12</v>
      </c>
      <c r="G99" s="112" t="s">
        <v>74</v>
      </c>
      <c r="H99" s="112" t="s">
        <v>15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78</v>
      </c>
      <c r="B100" s="111"/>
      <c r="C100" s="111"/>
      <c r="E100" s="112">
        <v>5</v>
      </c>
      <c r="F100" s="113" t="s">
        <v>12</v>
      </c>
      <c r="G100" s="112" t="s">
        <v>79</v>
      </c>
      <c r="H100" s="112" t="s">
        <v>10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80</v>
      </c>
      <c r="B101" s="111"/>
      <c r="C101" s="111"/>
      <c r="E101" s="112">
        <v>5</v>
      </c>
      <c r="F101" s="113" t="s">
        <v>12</v>
      </c>
      <c r="G101" s="112" t="s">
        <v>79</v>
      </c>
      <c r="H101" s="112" t="s">
        <v>15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169</v>
      </c>
      <c r="B102" s="111"/>
      <c r="C102" s="111"/>
      <c r="E102" s="112">
        <v>5</v>
      </c>
      <c r="F102" s="113" t="s">
        <v>12</v>
      </c>
      <c r="G102" s="112" t="s">
        <v>79</v>
      </c>
      <c r="H102" s="113" t="s">
        <v>60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170</v>
      </c>
      <c r="B103" s="111"/>
      <c r="C103" s="111"/>
      <c r="E103" s="112">
        <v>5</v>
      </c>
      <c r="F103" s="113" t="s">
        <v>12</v>
      </c>
      <c r="G103" s="112" t="s">
        <v>79</v>
      </c>
      <c r="H103" s="113" t="s">
        <v>19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171</v>
      </c>
      <c r="B104" s="111"/>
      <c r="C104" s="111"/>
      <c r="E104" s="112">
        <v>5</v>
      </c>
      <c r="F104" s="113" t="s">
        <v>12</v>
      </c>
      <c r="G104" s="112" t="s">
        <v>79</v>
      </c>
      <c r="H104" s="113" t="s">
        <v>82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81</v>
      </c>
      <c r="B105" s="111"/>
      <c r="C105" s="111"/>
      <c r="E105" s="112">
        <v>5</v>
      </c>
      <c r="F105" s="113" t="s">
        <v>12</v>
      </c>
      <c r="G105" s="112" t="s">
        <v>59</v>
      </c>
      <c r="H105" s="113" t="s">
        <v>82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83</v>
      </c>
      <c r="B106" s="111"/>
      <c r="C106" s="111"/>
      <c r="E106" s="112">
        <v>5</v>
      </c>
      <c r="F106" s="113" t="s">
        <v>12</v>
      </c>
      <c r="G106" s="112" t="s">
        <v>84</v>
      </c>
      <c r="H106" s="113" t="s">
        <v>8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85</v>
      </c>
      <c r="B107" s="111"/>
      <c r="C107" s="111"/>
      <c r="E107" s="112">
        <v>5</v>
      </c>
      <c r="F107" s="113" t="s">
        <v>12</v>
      </c>
      <c r="G107" s="112" t="s">
        <v>84</v>
      </c>
      <c r="H107" s="113" t="s">
        <v>10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hidden="1" customHeight="1" x14ac:dyDescent="0.2">
      <c r="A108" s="86" t="s">
        <v>86</v>
      </c>
      <c r="B108" s="111"/>
      <c r="C108" s="111"/>
      <c r="E108" s="112">
        <v>5</v>
      </c>
      <c r="F108" s="113" t="s">
        <v>12</v>
      </c>
      <c r="G108" s="112" t="s">
        <v>84</v>
      </c>
      <c r="H108" s="113" t="s">
        <v>15</v>
      </c>
      <c r="J108" s="36"/>
      <c r="K108" s="36"/>
      <c r="L108" s="36"/>
      <c r="M108" s="36"/>
      <c r="N108" s="36">
        <f t="shared" si="3"/>
        <v>0</v>
      </c>
      <c r="O108" s="36"/>
      <c r="P108" s="36"/>
      <c r="Q108" s="36"/>
      <c r="R108" s="36"/>
    </row>
    <row r="109" spans="1:18" s="7" customFormat="1" ht="12.75" hidden="1" customHeight="1" x14ac:dyDescent="0.2">
      <c r="A109" s="86" t="s">
        <v>172</v>
      </c>
      <c r="B109" s="111"/>
      <c r="C109" s="111"/>
      <c r="E109" s="112">
        <v>5</v>
      </c>
      <c r="F109" s="113" t="s">
        <v>12</v>
      </c>
      <c r="G109" s="112" t="s">
        <v>174</v>
      </c>
      <c r="H109" s="113" t="s">
        <v>8</v>
      </c>
      <c r="J109" s="36"/>
      <c r="K109" s="36"/>
      <c r="L109" s="36"/>
      <c r="M109" s="36"/>
      <c r="N109" s="36">
        <f t="shared" si="3"/>
        <v>0</v>
      </c>
      <c r="O109" s="36"/>
      <c r="P109" s="36"/>
      <c r="Q109" s="36"/>
      <c r="R109" s="36"/>
    </row>
    <row r="110" spans="1:18" s="7" customFormat="1" ht="12.75" hidden="1" customHeight="1" x14ac:dyDescent="0.2">
      <c r="A110" s="86" t="s">
        <v>173</v>
      </c>
      <c r="B110" s="111"/>
      <c r="C110" s="111"/>
      <c r="E110" s="112">
        <v>5</v>
      </c>
      <c r="F110" s="113" t="s">
        <v>12</v>
      </c>
      <c r="G110" s="112" t="s">
        <v>174</v>
      </c>
      <c r="H110" s="113" t="s">
        <v>10</v>
      </c>
      <c r="J110" s="36"/>
      <c r="K110" s="36"/>
      <c r="L110" s="36"/>
      <c r="M110" s="36"/>
      <c r="N110" s="36">
        <f t="shared" si="3"/>
        <v>0</v>
      </c>
      <c r="O110" s="36"/>
      <c r="P110" s="36"/>
      <c r="Q110" s="36"/>
      <c r="R110" s="36"/>
    </row>
    <row r="111" spans="1:18" s="7" customFormat="1" ht="12.75" hidden="1" customHeight="1" x14ac:dyDescent="0.2">
      <c r="A111" s="86" t="s">
        <v>87</v>
      </c>
      <c r="B111" s="111"/>
      <c r="C111" s="111"/>
      <c r="E111" s="112">
        <v>5</v>
      </c>
      <c r="F111" s="113" t="s">
        <v>12</v>
      </c>
      <c r="G111" s="112" t="s">
        <v>174</v>
      </c>
      <c r="H111" s="113" t="s">
        <v>15</v>
      </c>
      <c r="J111" s="36"/>
      <c r="K111" s="36"/>
      <c r="L111" s="36"/>
      <c r="M111" s="36"/>
      <c r="N111" s="36">
        <f t="shared" si="3"/>
        <v>0</v>
      </c>
      <c r="O111" s="36"/>
      <c r="P111" s="36"/>
      <c r="Q111" s="36"/>
      <c r="R111" s="36"/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48950</v>
      </c>
      <c r="K112" s="36"/>
      <c r="L112" s="36"/>
      <c r="M112" s="36"/>
      <c r="N112" s="36">
        <f t="shared" si="3"/>
        <v>100000</v>
      </c>
      <c r="O112" s="36"/>
      <c r="P112" s="36">
        <v>100000</v>
      </c>
      <c r="Q112" s="36"/>
      <c r="R112" s="36">
        <v>100000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SUM(J45:J112)</f>
        <v>453052.36</v>
      </c>
      <c r="K113" s="162"/>
      <c r="L113" s="161">
        <f>SUM(L45:L112)</f>
        <v>58869.229999999996</v>
      </c>
      <c r="M113" s="36"/>
      <c r="N113" s="161">
        <f>SUM(N45:N112)</f>
        <v>925130.77</v>
      </c>
      <c r="O113" s="36"/>
      <c r="P113" s="161">
        <f>SUM(P45:P112)</f>
        <v>984000</v>
      </c>
      <c r="Q113" s="36"/>
      <c r="R113" s="161">
        <f>SUM(R45:R112)</f>
        <v>984000</v>
      </c>
    </row>
    <row r="114" spans="1:18" s="7" customFormat="1" ht="6" hidden="1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8.9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6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11" t="s">
        <v>89</v>
      </c>
      <c r="B127" s="24"/>
      <c r="C127" s="24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70" t="s">
        <v>90</v>
      </c>
      <c r="B128" s="9"/>
      <c r="C128" s="9"/>
      <c r="E128" s="112">
        <v>1</v>
      </c>
      <c r="F128" s="113" t="s">
        <v>12</v>
      </c>
      <c r="G128" s="112" t="s">
        <v>54</v>
      </c>
      <c r="H128" s="114" t="s">
        <v>10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86" t="s">
        <v>92</v>
      </c>
      <c r="B129" s="111"/>
      <c r="C129" s="111"/>
      <c r="E129" s="112">
        <v>1</v>
      </c>
      <c r="F129" s="113" t="s">
        <v>93</v>
      </c>
      <c r="G129" s="112" t="s">
        <v>7</v>
      </c>
      <c r="H129" s="112" t="s">
        <v>8</v>
      </c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7" customFormat="1" ht="12.75" hidden="1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7" customFormat="1" ht="12.75" customHeight="1" x14ac:dyDescent="0.2">
      <c r="A133" s="86" t="s">
        <v>98</v>
      </c>
      <c r="B133" s="116"/>
      <c r="C133" s="116"/>
      <c r="E133" s="112">
        <v>1</v>
      </c>
      <c r="F133" s="113" t="s">
        <v>93</v>
      </c>
      <c r="G133" s="112" t="s">
        <v>54</v>
      </c>
      <c r="H133" s="112" t="s">
        <v>15</v>
      </c>
      <c r="J133" s="36"/>
      <c r="K133" s="36"/>
      <c r="L133" s="36"/>
      <c r="M133" s="36"/>
      <c r="N133" s="36"/>
      <c r="O133" s="36"/>
      <c r="P133" s="36">
        <v>300000</v>
      </c>
      <c r="Q133" s="36"/>
      <c r="R133" s="36">
        <v>300000</v>
      </c>
    </row>
    <row r="134" spans="1:18" s="7" customFormat="1" ht="12.75" customHeight="1" x14ac:dyDescent="0.2">
      <c r="A134" s="86" t="s">
        <v>97</v>
      </c>
      <c r="B134" s="111"/>
      <c r="C134" s="111"/>
      <c r="E134" s="112">
        <v>1</v>
      </c>
      <c r="F134" s="113" t="s">
        <v>93</v>
      </c>
      <c r="G134" s="112" t="s">
        <v>93</v>
      </c>
      <c r="H134" s="112" t="s">
        <v>8</v>
      </c>
      <c r="J134" s="36"/>
      <c r="K134" s="36"/>
      <c r="L134" s="36"/>
      <c r="M134" s="36"/>
      <c r="N134" s="36"/>
      <c r="O134" s="36"/>
      <c r="P134" s="36">
        <v>100000</v>
      </c>
      <c r="Q134" s="36"/>
      <c r="R134" s="36">
        <v>100000</v>
      </c>
    </row>
    <row r="135" spans="1:18" s="7" customFormat="1" ht="12.75" hidden="1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  <c r="J135" s="36"/>
      <c r="K135" s="36"/>
      <c r="L135" s="36"/>
      <c r="M135" s="36"/>
      <c r="N135" s="36">
        <f t="shared" ref="N135:N145" si="6">P135-L135</f>
        <v>0</v>
      </c>
      <c r="O135" s="36"/>
      <c r="P135" s="36"/>
      <c r="Q135" s="36"/>
      <c r="R135" s="36"/>
    </row>
    <row r="136" spans="1:18" s="7" customFormat="1" ht="12.75" hidden="1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  <c r="J136" s="36"/>
      <c r="K136" s="36"/>
      <c r="L136" s="36"/>
      <c r="M136" s="36"/>
      <c r="N136" s="36">
        <f t="shared" si="6"/>
        <v>0</v>
      </c>
      <c r="O136" s="36"/>
      <c r="P136" s="36"/>
      <c r="Q136" s="36"/>
      <c r="R136" s="36"/>
    </row>
    <row r="137" spans="1:18" s="7" customFormat="1" ht="12.7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  <c r="J137" s="36"/>
      <c r="K137" s="36"/>
      <c r="L137" s="36"/>
      <c r="M137" s="36"/>
      <c r="N137" s="36">
        <f t="shared" si="6"/>
        <v>0</v>
      </c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  <c r="J138" s="36"/>
      <c r="K138" s="36"/>
      <c r="L138" s="36"/>
      <c r="M138" s="36"/>
      <c r="N138" s="36">
        <f t="shared" si="6"/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  <c r="J139" s="36"/>
      <c r="K139" s="36"/>
      <c r="L139" s="36"/>
      <c r="M139" s="36"/>
      <c r="N139" s="36">
        <f t="shared" si="6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  <c r="J140" s="36"/>
      <c r="K140" s="36"/>
      <c r="L140" s="36"/>
      <c r="M140" s="36"/>
      <c r="N140" s="36">
        <f t="shared" si="6"/>
        <v>0</v>
      </c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  <c r="J141" s="36"/>
      <c r="K141" s="36"/>
      <c r="L141" s="36"/>
      <c r="M141" s="36"/>
      <c r="N141" s="36">
        <f t="shared" si="6"/>
        <v>0</v>
      </c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  <c r="J142" s="36"/>
      <c r="K142" s="36"/>
      <c r="L142" s="36"/>
      <c r="M142" s="36"/>
      <c r="N142" s="36">
        <f t="shared" si="6"/>
        <v>0</v>
      </c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  <c r="J143" s="36"/>
      <c r="K143" s="36"/>
      <c r="L143" s="36"/>
      <c r="M143" s="36"/>
      <c r="N143" s="36">
        <f t="shared" si="6"/>
        <v>0</v>
      </c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  <c r="J144" s="36"/>
      <c r="K144" s="36"/>
      <c r="L144" s="36"/>
      <c r="M144" s="36"/>
      <c r="N144" s="36">
        <f t="shared" si="6"/>
        <v>0</v>
      </c>
      <c r="O144" s="36"/>
      <c r="P144" s="36"/>
      <c r="Q144" s="36"/>
      <c r="R144" s="36"/>
    </row>
    <row r="145" spans="1:18" s="7" customFormat="1" ht="12.75" hidden="1" customHeight="1" x14ac:dyDescent="0.2">
      <c r="A145" s="86" t="s">
        <v>107</v>
      </c>
      <c r="B145" s="111"/>
      <c r="C145" s="111"/>
      <c r="D145" s="113"/>
      <c r="E145" s="112">
        <v>1</v>
      </c>
      <c r="F145" s="113" t="s">
        <v>93</v>
      </c>
      <c r="G145" s="112" t="s">
        <v>59</v>
      </c>
      <c r="H145" s="114" t="s">
        <v>49</v>
      </c>
      <c r="J145" s="36"/>
      <c r="K145" s="36"/>
      <c r="L145" s="36"/>
      <c r="M145" s="36"/>
      <c r="N145" s="36">
        <f t="shared" si="6"/>
        <v>0</v>
      </c>
      <c r="O145" s="36"/>
      <c r="P145" s="36"/>
      <c r="Q145" s="36"/>
      <c r="R145" s="36"/>
    </row>
    <row r="146" spans="1:18" s="7" customFormat="1" ht="12.75" hidden="1" customHeight="1" x14ac:dyDescent="0.2">
      <c r="A146" s="86" t="s">
        <v>178</v>
      </c>
      <c r="B146" s="111"/>
      <c r="C146" s="111"/>
      <c r="D146" s="113"/>
      <c r="E146" s="112">
        <v>1</v>
      </c>
      <c r="F146" s="113" t="s">
        <v>93</v>
      </c>
      <c r="G146" s="112" t="s">
        <v>29</v>
      </c>
      <c r="H146" s="112" t="s">
        <v>8</v>
      </c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7" customFormat="1" ht="12.75" hidden="1" customHeight="1" x14ac:dyDescent="0.2">
      <c r="A147" s="86" t="s">
        <v>179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45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27" customFormat="1" ht="18.95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M148" s="172"/>
      <c r="N148" s="21">
        <f>SUM(N129:N147)</f>
        <v>0</v>
      </c>
      <c r="O148" s="172"/>
      <c r="P148" s="21">
        <f>SUM(P129:P147)</f>
        <v>400000</v>
      </c>
      <c r="Q148" s="172"/>
      <c r="R148" s="21">
        <f>SUM(R129:R147)</f>
        <v>400000</v>
      </c>
    </row>
    <row r="149" spans="1:18" s="7" customFormat="1" ht="6" customHeight="1" x14ac:dyDescent="0.2"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J42+J113+J124+J148</f>
        <v>12410867.780000001</v>
      </c>
      <c r="K150" s="23"/>
      <c r="L150" s="29">
        <f>L42+L113+L124+L148</f>
        <v>5446509.3700000001</v>
      </c>
      <c r="M150" s="36"/>
      <c r="N150" s="29">
        <f>N42+N113+N124+N148</f>
        <v>10066683.07</v>
      </c>
      <c r="O150" s="36"/>
      <c r="P150" s="29">
        <f>P42+P113+P124+P148</f>
        <v>15913192.440000001</v>
      </c>
      <c r="Q150" s="36"/>
      <c r="R150" s="29">
        <f>R42+R113+R124+R148</f>
        <v>16463349.610000001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175"/>
      <c r="K151" s="175"/>
      <c r="L151" s="175"/>
      <c r="M151" s="175"/>
      <c r="N151" s="36"/>
      <c r="O151" s="36"/>
      <c r="P151" s="36"/>
      <c r="Q151" s="36"/>
      <c r="R151" s="36"/>
    </row>
    <row r="152" spans="1:18" s="7" customFormat="1" x14ac:dyDescent="0.2"/>
    <row r="153" spans="1:18" s="7" customFormat="1" x14ac:dyDescent="0.2"/>
    <row r="154" spans="1:18" x14ac:dyDescent="0.2">
      <c r="A154" s="321" t="s">
        <v>133</v>
      </c>
      <c r="B154" s="321"/>
      <c r="C154" s="321"/>
      <c r="D154" s="33"/>
      <c r="E154" s="32"/>
      <c r="G154" s="31"/>
      <c r="I154" s="31"/>
      <c r="J154" s="321" t="s">
        <v>276</v>
      </c>
      <c r="K154" s="321"/>
      <c r="L154" s="321"/>
      <c r="M154" s="47"/>
      <c r="N154" s="49"/>
      <c r="O154" s="49"/>
      <c r="P154" s="311" t="s">
        <v>135</v>
      </c>
      <c r="Q154" s="311"/>
      <c r="R154" s="311"/>
    </row>
    <row r="155" spans="1:18" x14ac:dyDescent="0.2">
      <c r="A155" s="50"/>
      <c r="D155" s="33"/>
      <c r="E155" s="51"/>
      <c r="G155" s="31"/>
      <c r="I155" s="31"/>
      <c r="J155" s="168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68"/>
      <c r="M156" s="95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322" t="s">
        <v>342</v>
      </c>
      <c r="B158" s="322"/>
      <c r="C158" s="322"/>
      <c r="D158" s="55"/>
      <c r="E158" s="56"/>
      <c r="G158" s="31"/>
      <c r="I158" s="31"/>
      <c r="J158" s="322" t="s">
        <v>291</v>
      </c>
      <c r="K158" s="322"/>
      <c r="L158" s="322"/>
      <c r="M158" s="57"/>
      <c r="N158" s="59"/>
      <c r="O158" s="59"/>
      <c r="P158" s="312" t="s">
        <v>137</v>
      </c>
      <c r="Q158" s="312"/>
      <c r="R158" s="312"/>
    </row>
    <row r="159" spans="1:18" x14ac:dyDescent="0.2">
      <c r="A159" s="321" t="s">
        <v>315</v>
      </c>
      <c r="B159" s="321"/>
      <c r="C159" s="321"/>
      <c r="D159" s="31"/>
      <c r="E159" s="32"/>
      <c r="G159" s="31"/>
      <c r="I159" s="31"/>
      <c r="J159" s="321" t="s">
        <v>269</v>
      </c>
      <c r="K159" s="321"/>
      <c r="L159" s="321"/>
      <c r="M159" s="33"/>
      <c r="N159" s="35"/>
      <c r="O159" s="35"/>
      <c r="P159" s="313" t="s">
        <v>139</v>
      </c>
      <c r="Q159" s="313"/>
      <c r="R159" s="313"/>
    </row>
  </sheetData>
  <customSheetViews>
    <customSheetView guid="{1998FCB8-1FEB-4076-ACE6-A225EE4366B3}" showPageBreaks="1" printArea="1" hiddenRows="1" view="pageBreakPreview">
      <pane xSplit="1" ySplit="13" topLeftCell="B125" activePane="bottomRight" state="frozen"/>
      <selection pane="bottomRight" activeCell="R31" sqref="R31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5" activePane="bottomRight" state="frozen"/>
      <selection pane="bottomRight" activeCell="C72" sqref="C72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33" activePane="bottomRight" state="frozen"/>
      <selection pane="bottomRight" activeCell="A137" sqref="A137:XFD145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125" activePane="bottomRight" state="frozen"/>
      <selection pane="bottomRight" activeCell="P155" sqref="P155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12" activePane="bottomRight" state="frozen"/>
      <selection pane="bottomRight" activeCell="R134" sqref="R134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2:C12"/>
    <mergeCell ref="E12:H12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C126" activePane="bottomRight" state="frozen"/>
      <selection pane="topRight" activeCell="B1" sqref="B1"/>
      <selection pane="bottomLeft" activeCell="A14" sqref="A14"/>
      <selection pane="bottomRight" activeCell="A159" sqref="A15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21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77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199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317" t="s">
        <v>122</v>
      </c>
      <c r="M8" s="317"/>
      <c r="N8" s="317"/>
      <c r="O8" s="317"/>
      <c r="P8" s="317"/>
      <c r="Q8" s="65"/>
    </row>
    <row r="9" spans="1:21" ht="15" customHeight="1" x14ac:dyDescent="0.2">
      <c r="H9" s="8"/>
      <c r="I9" s="8"/>
      <c r="J9" s="8" t="s">
        <v>268</v>
      </c>
      <c r="K9" s="8"/>
      <c r="L9" s="62" t="s">
        <v>123</v>
      </c>
      <c r="M9" s="62"/>
      <c r="N9" s="62" t="s">
        <v>125</v>
      </c>
      <c r="O9" s="62"/>
      <c r="P9" s="318" t="s">
        <v>127</v>
      </c>
      <c r="Q9" s="45"/>
      <c r="R9" s="167" t="s">
        <v>132</v>
      </c>
    </row>
    <row r="10" spans="1:21" ht="15" customHeight="1" x14ac:dyDescent="0.2">
      <c r="A10" s="320" t="s">
        <v>186</v>
      </c>
      <c r="B10" s="320"/>
      <c r="C10" s="320"/>
      <c r="D10" s="9"/>
      <c r="E10" s="320" t="s">
        <v>112</v>
      </c>
      <c r="F10" s="320"/>
      <c r="G10" s="320"/>
      <c r="H10" s="320"/>
      <c r="I10" s="8"/>
      <c r="J10" s="87" t="s">
        <v>290</v>
      </c>
      <c r="K10" s="44"/>
      <c r="L10" s="44">
        <v>2020</v>
      </c>
      <c r="M10" s="44"/>
      <c r="N10" s="44">
        <v>2020</v>
      </c>
      <c r="O10" s="44"/>
      <c r="P10" s="319"/>
      <c r="Q10" s="45"/>
      <c r="R10" s="44">
        <v>2021</v>
      </c>
    </row>
    <row r="11" spans="1:21" ht="15" customHeight="1" x14ac:dyDescent="0.2">
      <c r="A11" s="85"/>
      <c r="B11" s="85"/>
      <c r="C11" s="85"/>
      <c r="D11" s="9"/>
      <c r="E11" s="85"/>
      <c r="F11" s="85"/>
      <c r="G11" s="85"/>
      <c r="H11" s="85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319"/>
      <c r="Q11" s="45"/>
      <c r="R11" s="168" t="s">
        <v>2</v>
      </c>
    </row>
    <row r="12" spans="1:21" ht="15" customHeight="1" x14ac:dyDescent="0.2">
      <c r="A12" s="309" t="s">
        <v>3</v>
      </c>
      <c r="B12" s="309"/>
      <c r="C12" s="309"/>
      <c r="D12" s="7"/>
      <c r="E12" s="310" t="s">
        <v>4</v>
      </c>
      <c r="F12" s="310"/>
      <c r="G12" s="310"/>
      <c r="H12" s="310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86" t="s">
        <v>6</v>
      </c>
      <c r="B15" s="111"/>
      <c r="C15" s="111"/>
      <c r="D15" s="112"/>
      <c r="E15" s="112">
        <v>5</v>
      </c>
      <c r="F15" s="113" t="s">
        <v>7</v>
      </c>
      <c r="G15" s="112" t="s">
        <v>7</v>
      </c>
      <c r="H15" s="112" t="s">
        <v>8</v>
      </c>
      <c r="I15" s="112"/>
      <c r="J15" s="36">
        <v>19221069.289999999</v>
      </c>
      <c r="K15" s="13"/>
      <c r="L15" s="36">
        <v>9569788.4299999997</v>
      </c>
      <c r="M15" s="36"/>
      <c r="N15" s="36">
        <f t="shared" ref="N15:N20" si="0">P15-L15</f>
        <v>18910769.510000002</v>
      </c>
      <c r="O15" s="36"/>
      <c r="P15" s="36">
        <v>28480557.940000001</v>
      </c>
      <c r="Q15" s="36"/>
      <c r="R15" s="191">
        <v>30748133.379999999</v>
      </c>
      <c r="U15" s="7">
        <f>'[2]1031-LEP 2016'!$N$184</f>
        <v>26443318.43</v>
      </c>
    </row>
    <row r="16" spans="1:21" s="7" customFormat="1" ht="12.75" hidden="1" customHeight="1" x14ac:dyDescent="0.2">
      <c r="A16" s="130" t="s">
        <v>9</v>
      </c>
      <c r="B16" s="131"/>
      <c r="C16" s="131"/>
      <c r="E16" s="132">
        <v>5</v>
      </c>
      <c r="F16" s="133" t="s">
        <v>7</v>
      </c>
      <c r="G16" s="132" t="s">
        <v>7</v>
      </c>
      <c r="H16" s="132" t="s">
        <v>10</v>
      </c>
      <c r="J16" s="36"/>
      <c r="K16" s="39"/>
      <c r="L16" s="36"/>
      <c r="M16" s="36"/>
      <c r="N16" s="36">
        <f t="shared" si="0"/>
        <v>0</v>
      </c>
      <c r="O16" s="36"/>
      <c r="P16" s="36"/>
      <c r="Q16" s="36"/>
      <c r="R16" s="36"/>
    </row>
    <row r="17" spans="1:21" s="7" customFormat="1" ht="12.75" customHeight="1" x14ac:dyDescent="0.2">
      <c r="A17" s="86" t="s">
        <v>11</v>
      </c>
      <c r="B17" s="111"/>
      <c r="C17" s="111"/>
      <c r="D17" s="112"/>
      <c r="E17" s="112">
        <v>5</v>
      </c>
      <c r="F17" s="113" t="s">
        <v>7</v>
      </c>
      <c r="G17" s="112" t="s">
        <v>12</v>
      </c>
      <c r="H17" s="112" t="s">
        <v>8</v>
      </c>
      <c r="J17" s="36">
        <v>2278251.44</v>
      </c>
      <c r="K17" s="13"/>
      <c r="L17" s="36">
        <v>1070332.53</v>
      </c>
      <c r="M17" s="36"/>
      <c r="N17" s="36">
        <f t="shared" si="0"/>
        <v>2169667.4699999997</v>
      </c>
      <c r="O17" s="36"/>
      <c r="P17" s="36">
        <v>3240000</v>
      </c>
      <c r="Q17" s="36"/>
      <c r="R17" s="187">
        <v>3240000</v>
      </c>
    </row>
    <row r="18" spans="1:21" s="7" customFormat="1" ht="12.75" customHeight="1" x14ac:dyDescent="0.2">
      <c r="A18" s="86" t="s">
        <v>13</v>
      </c>
      <c r="B18" s="111"/>
      <c r="C18" s="111"/>
      <c r="D18" s="112"/>
      <c r="E18" s="112">
        <v>5</v>
      </c>
      <c r="F18" s="113" t="s">
        <v>7</v>
      </c>
      <c r="G18" s="112" t="s">
        <v>12</v>
      </c>
      <c r="H18" s="112" t="s">
        <v>10</v>
      </c>
      <c r="J18" s="36">
        <v>90000</v>
      </c>
      <c r="K18" s="13"/>
      <c r="L18" s="36">
        <v>88500</v>
      </c>
      <c r="M18" s="36"/>
      <c r="N18" s="36">
        <f t="shared" si="0"/>
        <v>103500</v>
      </c>
      <c r="O18" s="36"/>
      <c r="P18" s="36">
        <v>192000</v>
      </c>
      <c r="Q18" s="36"/>
      <c r="R18" s="187">
        <v>192000</v>
      </c>
    </row>
    <row r="19" spans="1:21" s="7" customFormat="1" ht="12.75" customHeight="1" x14ac:dyDescent="0.2">
      <c r="A19" s="86" t="s">
        <v>14</v>
      </c>
      <c r="B19" s="111"/>
      <c r="C19" s="111"/>
      <c r="D19" s="112"/>
      <c r="E19" s="112">
        <v>5</v>
      </c>
      <c r="F19" s="113" t="s">
        <v>7</v>
      </c>
      <c r="G19" s="112" t="s">
        <v>12</v>
      </c>
      <c r="H19" s="112" t="s">
        <v>15</v>
      </c>
      <c r="J19" s="36">
        <v>90000</v>
      </c>
      <c r="K19" s="13"/>
      <c r="L19" s="36">
        <v>88500</v>
      </c>
      <c r="M19" s="36"/>
      <c r="N19" s="36">
        <f t="shared" si="0"/>
        <v>103500</v>
      </c>
      <c r="O19" s="36"/>
      <c r="P19" s="36">
        <v>192000</v>
      </c>
      <c r="Q19" s="36"/>
      <c r="R19" s="36">
        <v>192000</v>
      </c>
    </row>
    <row r="20" spans="1:21" s="7" customFormat="1" ht="12.75" customHeight="1" x14ac:dyDescent="0.2">
      <c r="A20" s="86" t="s">
        <v>16</v>
      </c>
      <c r="B20" s="111"/>
      <c r="C20" s="111"/>
      <c r="D20" s="112"/>
      <c r="E20" s="112">
        <v>5</v>
      </c>
      <c r="F20" s="113" t="s">
        <v>7</v>
      </c>
      <c r="G20" s="112" t="s">
        <v>12</v>
      </c>
      <c r="H20" s="112" t="s">
        <v>17</v>
      </c>
      <c r="J20" s="36">
        <v>576000</v>
      </c>
      <c r="K20" s="13"/>
      <c r="L20" s="36">
        <v>504000</v>
      </c>
      <c r="M20" s="36"/>
      <c r="N20" s="36">
        <f t="shared" si="0"/>
        <v>306000</v>
      </c>
      <c r="O20" s="36"/>
      <c r="P20" s="36">
        <v>810000</v>
      </c>
      <c r="Q20" s="36"/>
      <c r="R20" s="187">
        <v>810000</v>
      </c>
    </row>
    <row r="21" spans="1:21" s="7" customFormat="1" ht="12.75" hidden="1" customHeight="1" x14ac:dyDescent="0.2">
      <c r="A21" s="86" t="s">
        <v>141</v>
      </c>
      <c r="B21" s="111"/>
      <c r="C21" s="111"/>
      <c r="D21" s="112"/>
      <c r="E21" s="112">
        <v>5</v>
      </c>
      <c r="F21" s="113" t="s">
        <v>7</v>
      </c>
      <c r="G21" s="112" t="s">
        <v>12</v>
      </c>
      <c r="H21" s="112" t="s">
        <v>64</v>
      </c>
      <c r="J21" s="36"/>
      <c r="K21" s="13"/>
      <c r="L21" s="36"/>
      <c r="M21" s="36"/>
      <c r="N21" s="36"/>
      <c r="O21" s="36"/>
      <c r="P21" s="36"/>
      <c r="Q21" s="36"/>
      <c r="R21" s="36"/>
    </row>
    <row r="22" spans="1:21" s="7" customFormat="1" ht="12.75" hidden="1" customHeight="1" x14ac:dyDescent="0.2">
      <c r="A22" s="86" t="s">
        <v>143</v>
      </c>
      <c r="B22" s="111"/>
      <c r="C22" s="111"/>
      <c r="E22" s="112">
        <v>5</v>
      </c>
      <c r="F22" s="113" t="s">
        <v>7</v>
      </c>
      <c r="G22" s="112" t="s">
        <v>12</v>
      </c>
      <c r="H22" s="112" t="s">
        <v>45</v>
      </c>
      <c r="J22" s="36"/>
      <c r="K22" s="13"/>
      <c r="L22" s="36"/>
      <c r="M22" s="36"/>
      <c r="N22" s="36"/>
      <c r="O22" s="36"/>
      <c r="P22" s="36"/>
      <c r="Q22" s="36"/>
      <c r="R22" s="36"/>
    </row>
    <row r="23" spans="1:21" s="7" customFormat="1" ht="12.75" hidden="1" customHeight="1" x14ac:dyDescent="0.2">
      <c r="A23" s="86" t="s">
        <v>144</v>
      </c>
      <c r="B23" s="111"/>
      <c r="C23" s="111"/>
      <c r="D23" s="112"/>
      <c r="E23" s="112">
        <v>5</v>
      </c>
      <c r="F23" s="113" t="s">
        <v>7</v>
      </c>
      <c r="G23" s="112" t="s">
        <v>12</v>
      </c>
      <c r="H23" s="112" t="s">
        <v>60</v>
      </c>
      <c r="J23" s="36"/>
      <c r="K23" s="13"/>
      <c r="L23" s="36"/>
      <c r="M23" s="36"/>
      <c r="N23" s="36">
        <f t="shared" ref="N23:N39" si="1">P23-L23</f>
        <v>0</v>
      </c>
      <c r="O23" s="36"/>
      <c r="P23" s="36"/>
      <c r="Q23" s="36"/>
      <c r="R23" s="36"/>
    </row>
    <row r="24" spans="1:21" s="7" customFormat="1" ht="12.75" hidden="1" customHeight="1" x14ac:dyDescent="0.2">
      <c r="A24" s="86" t="s">
        <v>18</v>
      </c>
      <c r="B24" s="111"/>
      <c r="C24" s="111"/>
      <c r="D24" s="112"/>
      <c r="E24" s="112">
        <v>5</v>
      </c>
      <c r="F24" s="113" t="s">
        <v>7</v>
      </c>
      <c r="G24" s="112" t="s">
        <v>12</v>
      </c>
      <c r="H24" s="112" t="s">
        <v>19</v>
      </c>
      <c r="J24" s="36"/>
      <c r="K24" s="13"/>
      <c r="L24" s="36"/>
      <c r="M24" s="36"/>
      <c r="N24" s="36">
        <f t="shared" si="1"/>
        <v>0</v>
      </c>
      <c r="O24" s="36"/>
      <c r="P24" s="36"/>
      <c r="Q24" s="36"/>
      <c r="R24" s="36"/>
    </row>
    <row r="25" spans="1:21" s="7" customFormat="1" ht="12.75" hidden="1" customHeight="1" x14ac:dyDescent="0.2">
      <c r="A25" s="86" t="s">
        <v>21</v>
      </c>
      <c r="B25" s="111"/>
      <c r="C25" s="111"/>
      <c r="D25" s="112"/>
      <c r="E25" s="112">
        <v>5</v>
      </c>
      <c r="F25" s="113" t="s">
        <v>7</v>
      </c>
      <c r="G25" s="112" t="s">
        <v>12</v>
      </c>
      <c r="H25" s="112" t="s">
        <v>102</v>
      </c>
      <c r="J25" s="36"/>
      <c r="K25" s="13"/>
      <c r="L25" s="36"/>
      <c r="M25" s="36"/>
      <c r="N25" s="36">
        <f t="shared" si="1"/>
        <v>0</v>
      </c>
      <c r="O25" s="36"/>
      <c r="P25" s="36"/>
      <c r="Q25" s="36"/>
      <c r="R25" s="36"/>
    </row>
    <row r="26" spans="1:21" s="7" customFormat="1" ht="12.75" customHeight="1" x14ac:dyDescent="0.2">
      <c r="A26" s="86" t="s">
        <v>22</v>
      </c>
      <c r="B26" s="111"/>
      <c r="C26" s="111"/>
      <c r="D26" s="112"/>
      <c r="E26" s="112">
        <v>5</v>
      </c>
      <c r="F26" s="113" t="s">
        <v>7</v>
      </c>
      <c r="G26" s="112" t="s">
        <v>12</v>
      </c>
      <c r="H26" s="114" t="s">
        <v>146</v>
      </c>
      <c r="J26" s="36"/>
      <c r="K26" s="13"/>
      <c r="L26" s="36">
        <v>3857500</v>
      </c>
      <c r="M26" s="36"/>
      <c r="N26" s="36">
        <f t="shared" si="1"/>
        <v>198000</v>
      </c>
      <c r="O26" s="36"/>
      <c r="P26" s="36">
        <v>4055500</v>
      </c>
      <c r="Q26" s="36"/>
      <c r="R26" s="36"/>
    </row>
    <row r="27" spans="1:21" s="7" customFormat="1" ht="12.75" hidden="1" customHeight="1" x14ac:dyDescent="0.2">
      <c r="A27" s="86" t="s">
        <v>145</v>
      </c>
      <c r="B27" s="111"/>
      <c r="C27" s="111"/>
      <c r="D27" s="112"/>
      <c r="E27" s="112">
        <v>5</v>
      </c>
      <c r="F27" s="113" t="s">
        <v>7</v>
      </c>
      <c r="G27" s="112" t="s">
        <v>12</v>
      </c>
      <c r="H27" s="114" t="s">
        <v>47</v>
      </c>
      <c r="J27" s="36"/>
      <c r="K27" s="36"/>
      <c r="L27" s="36"/>
      <c r="M27" s="36"/>
      <c r="N27" s="36">
        <f t="shared" si="1"/>
        <v>0</v>
      </c>
      <c r="O27" s="36"/>
      <c r="P27" s="36"/>
      <c r="Q27" s="36"/>
      <c r="R27" s="36"/>
    </row>
    <row r="28" spans="1:21" s="7" customFormat="1" ht="12.75" hidden="1" customHeight="1" x14ac:dyDescent="0.2">
      <c r="A28" s="86" t="s">
        <v>23</v>
      </c>
      <c r="B28" s="111"/>
      <c r="C28" s="111"/>
      <c r="D28" s="112"/>
      <c r="E28" s="112">
        <v>5</v>
      </c>
      <c r="F28" s="113" t="s">
        <v>7</v>
      </c>
      <c r="G28" s="112" t="s">
        <v>12</v>
      </c>
      <c r="H28" s="114" t="s">
        <v>24</v>
      </c>
      <c r="J28" s="36"/>
      <c r="K28" s="36"/>
      <c r="L28" s="36"/>
      <c r="M28" s="36"/>
      <c r="N28" s="36">
        <f t="shared" si="1"/>
        <v>0</v>
      </c>
      <c r="O28" s="36"/>
      <c r="P28" s="36"/>
      <c r="Q28" s="36"/>
      <c r="R28" s="36"/>
    </row>
    <row r="29" spans="1:21" s="7" customFormat="1" ht="12.75" customHeight="1" x14ac:dyDescent="0.2">
      <c r="A29" s="86" t="s">
        <v>27</v>
      </c>
      <c r="B29" s="111"/>
      <c r="C29" s="111"/>
      <c r="D29" s="112"/>
      <c r="E29" s="112">
        <v>5</v>
      </c>
      <c r="F29" s="113" t="s">
        <v>7</v>
      </c>
      <c r="G29" s="112" t="s">
        <v>12</v>
      </c>
      <c r="H29" s="114" t="s">
        <v>28</v>
      </c>
      <c r="J29" s="36">
        <v>1608928.9</v>
      </c>
      <c r="K29" s="36"/>
      <c r="L29" s="36"/>
      <c r="M29" s="36"/>
      <c r="N29" s="36">
        <f>P29-L29</f>
        <v>2453597</v>
      </c>
      <c r="O29" s="36"/>
      <c r="P29" s="36">
        <v>2453597</v>
      </c>
      <c r="Q29" s="36"/>
      <c r="R29" s="36">
        <v>2563325</v>
      </c>
    </row>
    <row r="30" spans="1:21" s="7" customFormat="1" ht="12.75" customHeight="1" x14ac:dyDescent="0.2">
      <c r="A30" s="86" t="s">
        <v>25</v>
      </c>
      <c r="B30" s="111"/>
      <c r="C30" s="111"/>
      <c r="D30" s="112"/>
      <c r="E30" s="112">
        <v>5</v>
      </c>
      <c r="F30" s="113" t="s">
        <v>7</v>
      </c>
      <c r="G30" s="112" t="s">
        <v>12</v>
      </c>
      <c r="H30" s="114" t="s">
        <v>26</v>
      </c>
      <c r="J30" s="36">
        <v>480250</v>
      </c>
      <c r="K30" s="36"/>
      <c r="L30" s="36"/>
      <c r="M30" s="36"/>
      <c r="N30" s="36">
        <f t="shared" si="1"/>
        <v>675000</v>
      </c>
      <c r="O30" s="36"/>
      <c r="P30" s="36">
        <v>675000</v>
      </c>
      <c r="Q30" s="36"/>
      <c r="R30" s="36">
        <v>675000</v>
      </c>
    </row>
    <row r="31" spans="1:21" s="7" customFormat="1" ht="12.75" customHeight="1" x14ac:dyDescent="0.2">
      <c r="A31" s="86" t="s">
        <v>140</v>
      </c>
      <c r="B31" s="111"/>
      <c r="C31" s="111"/>
      <c r="D31" s="112"/>
      <c r="E31" s="112">
        <v>5</v>
      </c>
      <c r="F31" s="113" t="s">
        <v>7</v>
      </c>
      <c r="G31" s="112" t="s">
        <v>12</v>
      </c>
      <c r="H31" s="114" t="s">
        <v>49</v>
      </c>
      <c r="J31" s="36">
        <v>1641678</v>
      </c>
      <c r="K31" s="13"/>
      <c r="L31" s="36">
        <v>1604671</v>
      </c>
      <c r="M31" s="36"/>
      <c r="N31" s="36">
        <f>P31-L31</f>
        <v>768926</v>
      </c>
      <c r="O31" s="36"/>
      <c r="P31" s="36">
        <v>2373597</v>
      </c>
      <c r="Q31" s="36"/>
      <c r="R31" s="36">
        <v>2563325</v>
      </c>
    </row>
    <row r="32" spans="1:21" s="7" customFormat="1" ht="12.75" customHeight="1" x14ac:dyDescent="0.2">
      <c r="A32" s="86" t="s">
        <v>263</v>
      </c>
      <c r="B32" s="111"/>
      <c r="C32" s="111"/>
      <c r="D32" s="112"/>
      <c r="E32" s="112">
        <v>5</v>
      </c>
      <c r="F32" s="113" t="s">
        <v>7</v>
      </c>
      <c r="G32" s="112" t="s">
        <v>29</v>
      </c>
      <c r="H32" s="112" t="s">
        <v>8</v>
      </c>
      <c r="J32" s="36">
        <v>2305517.6800000002</v>
      </c>
      <c r="K32" s="36"/>
      <c r="L32" s="36">
        <v>1148161.1000000001</v>
      </c>
      <c r="M32" s="36"/>
      <c r="N32" s="36">
        <f t="shared" si="1"/>
        <v>2385018.58</v>
      </c>
      <c r="O32" s="36"/>
      <c r="P32" s="36">
        <v>3533179.68</v>
      </c>
      <c r="Q32" s="36"/>
      <c r="R32" s="36">
        <v>3691188</v>
      </c>
      <c r="U32" s="7">
        <f>'[2]1031-LEP 2016'!$N$193</f>
        <v>3170387.67</v>
      </c>
    </row>
    <row r="33" spans="1:20" s="7" customFormat="1" ht="12.75" customHeight="1" x14ac:dyDescent="0.2">
      <c r="A33" s="86" t="s">
        <v>30</v>
      </c>
      <c r="B33" s="111"/>
      <c r="C33" s="111"/>
      <c r="D33" s="112"/>
      <c r="E33" s="112">
        <v>5</v>
      </c>
      <c r="F33" s="113" t="s">
        <v>7</v>
      </c>
      <c r="G33" s="112" t="s">
        <v>29</v>
      </c>
      <c r="H33" s="112" t="s">
        <v>10</v>
      </c>
      <c r="J33" s="36">
        <v>114270.97</v>
      </c>
      <c r="K33" s="36"/>
      <c r="L33" s="36">
        <v>53600</v>
      </c>
      <c r="M33" s="36"/>
      <c r="N33" s="36">
        <f t="shared" si="1"/>
        <v>108400</v>
      </c>
      <c r="O33" s="36"/>
      <c r="P33" s="36">
        <v>162000</v>
      </c>
      <c r="Q33" s="36"/>
      <c r="R33" s="36">
        <v>162000</v>
      </c>
    </row>
    <row r="34" spans="1:20" s="7" customFormat="1" ht="12.75" customHeight="1" x14ac:dyDescent="0.2">
      <c r="A34" s="86" t="s">
        <v>31</v>
      </c>
      <c r="B34" s="111"/>
      <c r="C34" s="111"/>
      <c r="D34" s="112"/>
      <c r="E34" s="112">
        <v>5</v>
      </c>
      <c r="F34" s="113" t="s">
        <v>7</v>
      </c>
      <c r="G34" s="112" t="s">
        <v>29</v>
      </c>
      <c r="H34" s="112" t="s">
        <v>15</v>
      </c>
      <c r="J34" s="36">
        <v>251814.85</v>
      </c>
      <c r="K34" s="36"/>
      <c r="L34" s="36">
        <v>137169.99</v>
      </c>
      <c r="M34" s="36"/>
      <c r="N34" s="36">
        <f t="shared" si="1"/>
        <v>288660.33</v>
      </c>
      <c r="O34" s="36"/>
      <c r="P34" s="36">
        <v>425830.32</v>
      </c>
      <c r="Q34" s="36"/>
      <c r="R34" s="36">
        <v>526442.69999999995</v>
      </c>
    </row>
    <row r="35" spans="1:20" s="7" customFormat="1" ht="12.75" customHeight="1" x14ac:dyDescent="0.2">
      <c r="A35" s="86" t="s">
        <v>32</v>
      </c>
      <c r="B35" s="111"/>
      <c r="C35" s="111"/>
      <c r="D35" s="112"/>
      <c r="E35" s="112">
        <v>5</v>
      </c>
      <c r="F35" s="113" t="s">
        <v>7</v>
      </c>
      <c r="G35" s="112" t="s">
        <v>29</v>
      </c>
      <c r="H35" s="112" t="s">
        <v>17</v>
      </c>
      <c r="J35" s="36">
        <v>114215.34</v>
      </c>
      <c r="K35" s="36"/>
      <c r="L35" s="36">
        <v>53600</v>
      </c>
      <c r="M35" s="36"/>
      <c r="N35" s="36">
        <f t="shared" si="1"/>
        <v>108400</v>
      </c>
      <c r="O35" s="36"/>
      <c r="P35" s="36">
        <v>162000</v>
      </c>
      <c r="Q35" s="36"/>
      <c r="R35" s="187">
        <v>162000</v>
      </c>
    </row>
    <row r="36" spans="1:20" s="7" customFormat="1" ht="12.75" hidden="1" customHeight="1" x14ac:dyDescent="0.2">
      <c r="A36" s="86" t="s">
        <v>147</v>
      </c>
      <c r="B36" s="111"/>
      <c r="C36" s="111"/>
      <c r="D36" s="112"/>
      <c r="E36" s="112">
        <v>5</v>
      </c>
      <c r="F36" s="113" t="s">
        <v>7</v>
      </c>
      <c r="G36" s="112" t="s">
        <v>34</v>
      </c>
      <c r="H36" s="112" t="s">
        <v>8</v>
      </c>
      <c r="J36" s="36"/>
      <c r="K36" s="36"/>
      <c r="L36" s="36"/>
      <c r="M36" s="36"/>
      <c r="N36" s="36">
        <f t="shared" si="1"/>
        <v>0</v>
      </c>
      <c r="O36" s="36"/>
      <c r="P36" s="36"/>
      <c r="Q36" s="36"/>
      <c r="R36" s="36"/>
    </row>
    <row r="37" spans="1:20" s="7" customFormat="1" ht="12.75" hidden="1" customHeight="1" x14ac:dyDescent="0.2">
      <c r="A37" s="86" t="s">
        <v>148</v>
      </c>
      <c r="B37" s="111"/>
      <c r="C37" s="111"/>
      <c r="D37" s="112"/>
      <c r="E37" s="112">
        <v>5</v>
      </c>
      <c r="F37" s="113" t="s">
        <v>7</v>
      </c>
      <c r="G37" s="112" t="s">
        <v>34</v>
      </c>
      <c r="H37" s="112" t="s">
        <v>10</v>
      </c>
      <c r="J37" s="36"/>
      <c r="K37" s="36"/>
      <c r="L37" s="36"/>
      <c r="M37" s="36"/>
      <c r="N37" s="36">
        <f t="shared" si="1"/>
        <v>0</v>
      </c>
      <c r="O37" s="36"/>
      <c r="P37" s="36"/>
      <c r="Q37" s="36"/>
      <c r="R37" s="36"/>
    </row>
    <row r="38" spans="1:20" s="7" customFormat="1" ht="12.75" customHeight="1" x14ac:dyDescent="0.2">
      <c r="A38" s="86" t="s">
        <v>33</v>
      </c>
      <c r="B38" s="111"/>
      <c r="C38" s="111"/>
      <c r="D38" s="112"/>
      <c r="E38" s="112">
        <v>5</v>
      </c>
      <c r="F38" s="113" t="s">
        <v>7</v>
      </c>
      <c r="G38" s="112" t="s">
        <v>34</v>
      </c>
      <c r="H38" s="112" t="s">
        <v>15</v>
      </c>
      <c r="J38" s="36">
        <v>1412145.3</v>
      </c>
      <c r="K38" s="36"/>
      <c r="L38" s="36">
        <v>81377.42</v>
      </c>
      <c r="M38" s="36"/>
      <c r="N38" s="36">
        <f t="shared" si="1"/>
        <v>1049417.52</v>
      </c>
      <c r="O38" s="36"/>
      <c r="P38" s="36">
        <v>1130794.94</v>
      </c>
      <c r="Q38" s="36"/>
      <c r="R38" s="187">
        <v>62871.199999999997</v>
      </c>
    </row>
    <row r="39" spans="1:20" s="7" customFormat="1" ht="12.75" customHeight="1" x14ac:dyDescent="0.2">
      <c r="A39" s="86" t="s">
        <v>35</v>
      </c>
      <c r="B39" s="111"/>
      <c r="C39" s="111"/>
      <c r="D39" s="112"/>
      <c r="E39" s="112">
        <v>5</v>
      </c>
      <c r="F39" s="113" t="s">
        <v>7</v>
      </c>
      <c r="G39" s="112" t="s">
        <v>34</v>
      </c>
      <c r="H39" s="112" t="s">
        <v>49</v>
      </c>
      <c r="J39" s="36">
        <v>536500</v>
      </c>
      <c r="K39" s="36"/>
      <c r="L39" s="36"/>
      <c r="M39" s="36"/>
      <c r="N39" s="36">
        <f t="shared" si="1"/>
        <v>755000</v>
      </c>
      <c r="O39" s="36"/>
      <c r="P39" s="36">
        <v>755000</v>
      </c>
      <c r="Q39" s="36"/>
      <c r="R39" s="187">
        <v>675000</v>
      </c>
    </row>
    <row r="40" spans="1:20" s="7" customFormat="1" ht="12.75" hidden="1" customHeight="1" x14ac:dyDescent="0.2">
      <c r="A40" s="86" t="s">
        <v>149</v>
      </c>
      <c r="B40" s="111"/>
      <c r="C40" s="111"/>
      <c r="D40" s="112"/>
      <c r="E40" s="112">
        <v>5</v>
      </c>
      <c r="F40" s="113" t="s">
        <v>7</v>
      </c>
      <c r="G40" s="112" t="s">
        <v>29</v>
      </c>
      <c r="H40" s="112" t="s">
        <v>64</v>
      </c>
      <c r="J40" s="36"/>
      <c r="K40" s="36"/>
      <c r="L40" s="36"/>
      <c r="M40" s="36"/>
      <c r="N40" s="36"/>
      <c r="O40" s="36"/>
      <c r="P40" s="36"/>
      <c r="Q40" s="36"/>
      <c r="R40" s="36"/>
    </row>
    <row r="41" spans="1:20" s="7" customFormat="1" ht="18.95" customHeight="1" x14ac:dyDescent="0.2">
      <c r="A41" s="63" t="s">
        <v>36</v>
      </c>
      <c r="B41" s="26"/>
      <c r="C41" s="26"/>
      <c r="J41" s="161">
        <f>SUM(J15:J40)</f>
        <v>30720641.77</v>
      </c>
      <c r="K41" s="162"/>
      <c r="L41" s="161">
        <f>SUM(L15:L40)</f>
        <v>18257200.470000003</v>
      </c>
      <c r="M41" s="36"/>
      <c r="N41" s="161">
        <f>SUM(N15:N40)</f>
        <v>30383856.41</v>
      </c>
      <c r="O41" s="36"/>
      <c r="P41" s="161">
        <f>SUM(P15:P40)</f>
        <v>48641056.879999995</v>
      </c>
      <c r="Q41" s="36"/>
      <c r="R41" s="161">
        <f>SUM(R15:R40)</f>
        <v>46263285.280000001</v>
      </c>
      <c r="T41" s="7">
        <f>'1031 GPS'!R41+'1031 ES'!R41+'1031 SS'!R41</f>
        <v>46263285.279999994</v>
      </c>
    </row>
    <row r="42" spans="1:20" s="7" customFormat="1" ht="6" customHeight="1" x14ac:dyDescent="0.2">
      <c r="A42" s="17"/>
      <c r="B42" s="17"/>
      <c r="C42" s="17"/>
      <c r="J42" s="162"/>
      <c r="K42" s="162"/>
      <c r="L42" s="36"/>
      <c r="M42" s="36"/>
      <c r="N42" s="36"/>
      <c r="O42" s="36"/>
      <c r="P42" s="36"/>
      <c r="Q42" s="36"/>
      <c r="R42" s="36"/>
    </row>
    <row r="43" spans="1:20" s="7" customFormat="1" ht="12.75" customHeight="1" x14ac:dyDescent="0.2">
      <c r="A43" s="68" t="s">
        <v>188</v>
      </c>
      <c r="B43" s="12"/>
      <c r="C43" s="12"/>
      <c r="J43" s="36"/>
      <c r="K43" s="36"/>
      <c r="L43" s="36"/>
      <c r="M43" s="36"/>
      <c r="N43" s="36"/>
      <c r="O43" s="36"/>
      <c r="P43" s="36"/>
      <c r="Q43" s="36"/>
      <c r="R43" s="36"/>
    </row>
    <row r="44" spans="1:20" s="7" customFormat="1" ht="12.75" customHeight="1" x14ac:dyDescent="0.2">
      <c r="A44" s="86" t="s">
        <v>37</v>
      </c>
      <c r="B44" s="111"/>
      <c r="C44" s="111"/>
      <c r="D44" s="112"/>
      <c r="E44" s="112">
        <v>5</v>
      </c>
      <c r="F44" s="113" t="s">
        <v>12</v>
      </c>
      <c r="G44" s="112" t="s">
        <v>7</v>
      </c>
      <c r="H44" s="112" t="s">
        <v>8</v>
      </c>
      <c r="J44" s="36">
        <v>12131</v>
      </c>
      <c r="K44" s="36"/>
      <c r="L44" s="36"/>
      <c r="M44" s="36"/>
      <c r="N44" s="36">
        <f t="shared" ref="N44:N73" si="2">P44-L44</f>
        <v>84000</v>
      </c>
      <c r="O44" s="36"/>
      <c r="P44" s="36">
        <v>84000</v>
      </c>
      <c r="Q44" s="36"/>
      <c r="R44" s="187">
        <v>84000</v>
      </c>
    </row>
    <row r="45" spans="1:20" s="7" customFormat="1" ht="12.75" hidden="1" customHeight="1" x14ac:dyDescent="0.2">
      <c r="A45" s="86" t="s">
        <v>38</v>
      </c>
      <c r="B45" s="111"/>
      <c r="C45" s="111"/>
      <c r="E45" s="112">
        <v>5</v>
      </c>
      <c r="F45" s="113" t="s">
        <v>12</v>
      </c>
      <c r="G45" s="112" t="s">
        <v>7</v>
      </c>
      <c r="H45" s="112" t="s">
        <v>10</v>
      </c>
      <c r="J45" s="36"/>
      <c r="K45" s="36"/>
      <c r="L45" s="36"/>
      <c r="M45" s="36"/>
      <c r="N45" s="36"/>
      <c r="O45" s="36"/>
      <c r="P45" s="36"/>
      <c r="Q45" s="36"/>
      <c r="R45" s="36"/>
    </row>
    <row r="46" spans="1:20" s="7" customFormat="1" ht="12.75" customHeight="1" x14ac:dyDescent="0.2">
      <c r="A46" s="86" t="s">
        <v>39</v>
      </c>
      <c r="B46" s="111"/>
      <c r="C46" s="111"/>
      <c r="E46" s="112">
        <v>5</v>
      </c>
      <c r="F46" s="113" t="s">
        <v>12</v>
      </c>
      <c r="G46" s="112" t="s">
        <v>12</v>
      </c>
      <c r="H46" s="112" t="s">
        <v>8</v>
      </c>
      <c r="J46" s="36">
        <v>9160</v>
      </c>
      <c r="K46" s="36"/>
      <c r="L46" s="36"/>
      <c r="M46" s="36"/>
      <c r="N46" s="36"/>
      <c r="O46" s="36"/>
      <c r="P46" s="36"/>
      <c r="Q46" s="36"/>
      <c r="R46" s="36"/>
    </row>
    <row r="47" spans="1:20" s="7" customFormat="1" ht="12.75" hidden="1" customHeight="1" x14ac:dyDescent="0.2">
      <c r="A47" s="86" t="s">
        <v>142</v>
      </c>
      <c r="B47" s="111"/>
      <c r="C47" s="111"/>
      <c r="D47" s="112"/>
      <c r="E47" s="112">
        <v>5</v>
      </c>
      <c r="F47" s="113" t="s">
        <v>12</v>
      </c>
      <c r="G47" s="112" t="s">
        <v>12</v>
      </c>
      <c r="H47" s="112" t="s">
        <v>10</v>
      </c>
      <c r="J47" s="36"/>
      <c r="K47" s="36"/>
      <c r="L47" s="36"/>
      <c r="M47" s="36"/>
      <c r="N47" s="36">
        <f t="shared" si="2"/>
        <v>0</v>
      </c>
      <c r="O47" s="36"/>
      <c r="P47" s="36"/>
      <c r="Q47" s="36"/>
      <c r="R47" s="36"/>
    </row>
    <row r="48" spans="1:20" s="7" customFormat="1" ht="12.75" hidden="1" customHeight="1" x14ac:dyDescent="0.2">
      <c r="A48" s="86" t="s">
        <v>40</v>
      </c>
      <c r="B48" s="111"/>
      <c r="C48" s="111"/>
      <c r="D48" s="112"/>
      <c r="E48" s="112">
        <v>5</v>
      </c>
      <c r="F48" s="113" t="s">
        <v>12</v>
      </c>
      <c r="G48" s="112" t="s">
        <v>29</v>
      </c>
      <c r="H48" s="112" t="s">
        <v>8</v>
      </c>
      <c r="J48" s="36"/>
      <c r="K48" s="36"/>
      <c r="L48" s="36"/>
      <c r="M48" s="36"/>
      <c r="N48" s="36"/>
      <c r="O48" s="36"/>
      <c r="P48" s="36"/>
      <c r="Q48" s="36"/>
      <c r="R48" s="36"/>
    </row>
    <row r="49" spans="1:21" s="7" customFormat="1" ht="12.75" hidden="1" customHeight="1" x14ac:dyDescent="0.2">
      <c r="A49" s="86" t="s">
        <v>41</v>
      </c>
      <c r="B49" s="111"/>
      <c r="C49" s="111"/>
      <c r="D49" s="112"/>
      <c r="E49" s="112">
        <v>5</v>
      </c>
      <c r="F49" s="113" t="s">
        <v>12</v>
      </c>
      <c r="G49" s="112" t="s">
        <v>29</v>
      </c>
      <c r="H49" s="112" t="s">
        <v>10</v>
      </c>
      <c r="J49" s="36"/>
      <c r="K49" s="36"/>
      <c r="L49" s="36"/>
      <c r="M49" s="36"/>
      <c r="N49" s="36">
        <f t="shared" si="2"/>
        <v>0</v>
      </c>
      <c r="O49" s="36"/>
      <c r="P49" s="36"/>
      <c r="Q49" s="36"/>
      <c r="R49" s="36"/>
    </row>
    <row r="50" spans="1:21" s="7" customFormat="1" ht="12.75" hidden="1" customHeight="1" x14ac:dyDescent="0.2">
      <c r="A50" s="86" t="s">
        <v>42</v>
      </c>
      <c r="B50" s="111"/>
      <c r="C50" s="111"/>
      <c r="D50" s="112"/>
      <c r="E50" s="112">
        <v>5</v>
      </c>
      <c r="F50" s="113" t="s">
        <v>12</v>
      </c>
      <c r="G50" s="112" t="s">
        <v>29</v>
      </c>
      <c r="H50" s="112" t="s">
        <v>17</v>
      </c>
      <c r="J50" s="36"/>
      <c r="K50" s="36"/>
      <c r="L50" s="36"/>
      <c r="M50" s="36"/>
      <c r="N50" s="36">
        <f t="shared" si="2"/>
        <v>0</v>
      </c>
      <c r="O50" s="36"/>
      <c r="P50" s="36"/>
      <c r="Q50" s="36"/>
      <c r="R50" s="36"/>
    </row>
    <row r="51" spans="1:21" s="7" customFormat="1" ht="12.75" customHeight="1" x14ac:dyDescent="0.2">
      <c r="A51" s="86" t="s">
        <v>43</v>
      </c>
      <c r="B51" s="111"/>
      <c r="C51" s="111"/>
      <c r="D51" s="112"/>
      <c r="E51" s="112">
        <v>5</v>
      </c>
      <c r="F51" s="113" t="s">
        <v>12</v>
      </c>
      <c r="G51" s="112" t="s">
        <v>29</v>
      </c>
      <c r="H51" s="112" t="s">
        <v>64</v>
      </c>
      <c r="J51" s="36">
        <v>1723385</v>
      </c>
      <c r="K51" s="36"/>
      <c r="L51" s="36">
        <v>681072</v>
      </c>
      <c r="M51" s="36"/>
      <c r="N51" s="36">
        <f t="shared" si="2"/>
        <v>4318928</v>
      </c>
      <c r="O51" s="36"/>
      <c r="P51" s="36">
        <v>5000000</v>
      </c>
      <c r="Q51" s="36"/>
      <c r="R51" s="187">
        <v>5000000</v>
      </c>
    </row>
    <row r="52" spans="1:21" s="7" customFormat="1" ht="12.75" hidden="1" customHeight="1" x14ac:dyDescent="0.2">
      <c r="A52" s="86" t="s">
        <v>88</v>
      </c>
      <c r="B52" s="111"/>
      <c r="C52" s="111"/>
      <c r="E52" s="112">
        <v>5</v>
      </c>
      <c r="F52" s="113" t="s">
        <v>12</v>
      </c>
      <c r="G52" s="112" t="s">
        <v>29</v>
      </c>
      <c r="H52" s="112" t="s">
        <v>60</v>
      </c>
      <c r="J52" s="36"/>
      <c r="K52" s="36"/>
      <c r="L52" s="36"/>
      <c r="M52" s="36"/>
      <c r="N52" s="36">
        <f t="shared" si="2"/>
        <v>0</v>
      </c>
      <c r="O52" s="36"/>
      <c r="P52" s="36"/>
      <c r="Q52" s="36"/>
      <c r="R52" s="36"/>
    </row>
    <row r="53" spans="1:21" s="7" customFormat="1" ht="12.75" hidden="1" customHeight="1" x14ac:dyDescent="0.2">
      <c r="A53" s="86" t="s">
        <v>150</v>
      </c>
      <c r="B53" s="111"/>
      <c r="C53" s="111"/>
      <c r="D53" s="112"/>
      <c r="E53" s="112">
        <v>5</v>
      </c>
      <c r="F53" s="113" t="s">
        <v>12</v>
      </c>
      <c r="G53" s="112" t="s">
        <v>29</v>
      </c>
      <c r="H53" s="112" t="s">
        <v>19</v>
      </c>
      <c r="J53" s="36"/>
      <c r="K53" s="39"/>
      <c r="L53" s="36"/>
      <c r="M53" s="36"/>
      <c r="N53" s="36">
        <f t="shared" si="2"/>
        <v>0</v>
      </c>
      <c r="O53" s="36"/>
      <c r="P53" s="36"/>
      <c r="Q53" s="36"/>
      <c r="R53" s="36"/>
    </row>
    <row r="54" spans="1:21" s="7" customFormat="1" ht="12.75" hidden="1" customHeight="1" x14ac:dyDescent="0.2">
      <c r="A54" s="86" t="s">
        <v>151</v>
      </c>
      <c r="B54" s="111"/>
      <c r="C54" s="111"/>
      <c r="D54" s="112"/>
      <c r="E54" s="112">
        <v>5</v>
      </c>
      <c r="F54" s="113" t="s">
        <v>12</v>
      </c>
      <c r="G54" s="112" t="s">
        <v>29</v>
      </c>
      <c r="H54" s="112" t="s">
        <v>82</v>
      </c>
      <c r="J54" s="36"/>
      <c r="K54" s="39"/>
      <c r="L54" s="36"/>
      <c r="M54" s="36"/>
      <c r="N54" s="36">
        <f t="shared" si="2"/>
        <v>0</v>
      </c>
      <c r="O54" s="36"/>
      <c r="P54" s="36"/>
      <c r="Q54" s="36"/>
      <c r="R54" s="36"/>
    </row>
    <row r="55" spans="1:21" s="7" customFormat="1" ht="12.75" customHeight="1" x14ac:dyDescent="0.2">
      <c r="A55" s="86" t="s">
        <v>44</v>
      </c>
      <c r="B55" s="111"/>
      <c r="C55" s="111"/>
      <c r="D55" s="112"/>
      <c r="E55" s="112">
        <v>5</v>
      </c>
      <c r="F55" s="113" t="s">
        <v>12</v>
      </c>
      <c r="G55" s="112" t="s">
        <v>29</v>
      </c>
      <c r="H55" s="112" t="s">
        <v>45</v>
      </c>
      <c r="J55" s="36">
        <v>1079805.5</v>
      </c>
      <c r="K55" s="39"/>
      <c r="L55" s="36">
        <v>397159.53</v>
      </c>
      <c r="M55" s="36"/>
      <c r="N55" s="36">
        <f t="shared" si="2"/>
        <v>826840.47</v>
      </c>
      <c r="O55" s="36"/>
      <c r="P55" s="36">
        <v>1224000</v>
      </c>
      <c r="Q55" s="36"/>
      <c r="R55" s="187">
        <v>1224000</v>
      </c>
    </row>
    <row r="56" spans="1:21" s="7" customFormat="1" ht="12.75" hidden="1" customHeight="1" x14ac:dyDescent="0.2">
      <c r="A56" s="86" t="s">
        <v>152</v>
      </c>
      <c r="B56" s="111"/>
      <c r="C56" s="111"/>
      <c r="D56" s="112"/>
      <c r="E56" s="112">
        <v>5</v>
      </c>
      <c r="F56" s="113" t="s">
        <v>12</v>
      </c>
      <c r="G56" s="112" t="s">
        <v>29</v>
      </c>
      <c r="H56" s="112" t="s">
        <v>102</v>
      </c>
      <c r="J56" s="36"/>
      <c r="K56" s="36"/>
      <c r="L56" s="36"/>
      <c r="M56" s="36"/>
      <c r="N56" s="36">
        <f t="shared" si="2"/>
        <v>0</v>
      </c>
      <c r="O56" s="36"/>
      <c r="P56" s="36"/>
      <c r="Q56" s="36"/>
      <c r="R56" s="36"/>
    </row>
    <row r="57" spans="1:21" s="7" customFormat="1" ht="12.75" hidden="1" customHeight="1" x14ac:dyDescent="0.2">
      <c r="A57" s="86" t="s">
        <v>153</v>
      </c>
      <c r="B57" s="111"/>
      <c r="C57" s="111"/>
      <c r="D57" s="112"/>
      <c r="E57" s="112">
        <v>5</v>
      </c>
      <c r="F57" s="113" t="s">
        <v>12</v>
      </c>
      <c r="G57" s="112" t="s">
        <v>29</v>
      </c>
      <c r="H57" s="112" t="s">
        <v>146</v>
      </c>
      <c r="J57" s="36"/>
      <c r="K57" s="36"/>
      <c r="L57" s="36"/>
      <c r="M57" s="36"/>
      <c r="N57" s="36">
        <f t="shared" si="2"/>
        <v>0</v>
      </c>
      <c r="O57" s="36"/>
      <c r="P57" s="36"/>
      <c r="Q57" s="36"/>
      <c r="R57" s="36"/>
    </row>
    <row r="58" spans="1:21" s="7" customFormat="1" ht="12.75" customHeight="1" x14ac:dyDescent="0.2">
      <c r="A58" s="86" t="s">
        <v>46</v>
      </c>
      <c r="B58" s="111"/>
      <c r="C58" s="111"/>
      <c r="D58" s="112"/>
      <c r="E58" s="112">
        <v>5</v>
      </c>
      <c r="F58" s="113" t="s">
        <v>12</v>
      </c>
      <c r="G58" s="112" t="s">
        <v>29</v>
      </c>
      <c r="H58" s="112" t="s">
        <v>47</v>
      </c>
      <c r="J58" s="36">
        <v>0</v>
      </c>
      <c r="K58" s="36"/>
      <c r="L58" s="36"/>
      <c r="M58" s="36"/>
      <c r="N58" s="36">
        <f t="shared" si="2"/>
        <v>1300000</v>
      </c>
      <c r="O58" s="36"/>
      <c r="P58" s="36">
        <v>1300000</v>
      </c>
      <c r="Q58" s="36"/>
      <c r="R58" s="187">
        <v>1300000</v>
      </c>
      <c r="U58" s="7">
        <v>41303766.329999998</v>
      </c>
    </row>
    <row r="59" spans="1:21" s="7" customFormat="1" ht="12.75" hidden="1" customHeight="1" x14ac:dyDescent="0.2">
      <c r="A59" s="86" t="s">
        <v>154</v>
      </c>
      <c r="B59" s="111"/>
      <c r="C59" s="111"/>
      <c r="E59" s="112">
        <v>5</v>
      </c>
      <c r="F59" s="113" t="s">
        <v>12</v>
      </c>
      <c r="G59" s="112" t="s">
        <v>29</v>
      </c>
      <c r="H59" s="112" t="s">
        <v>15</v>
      </c>
      <c r="J59" s="36"/>
      <c r="K59" s="36"/>
      <c r="L59" s="36"/>
      <c r="M59" s="36"/>
      <c r="N59" s="36">
        <f t="shared" si="2"/>
        <v>0</v>
      </c>
      <c r="O59" s="36"/>
      <c r="P59" s="36"/>
      <c r="Q59" s="36"/>
      <c r="R59" s="36"/>
    </row>
    <row r="60" spans="1:21" s="7" customFormat="1" ht="12.75" hidden="1" customHeight="1" x14ac:dyDescent="0.2">
      <c r="A60" s="86" t="s">
        <v>51</v>
      </c>
      <c r="B60" s="111"/>
      <c r="C60" s="111"/>
      <c r="D60" s="112"/>
      <c r="E60" s="112">
        <v>5</v>
      </c>
      <c r="F60" s="113" t="s">
        <v>12</v>
      </c>
      <c r="G60" s="112" t="s">
        <v>29</v>
      </c>
      <c r="H60" s="112" t="s">
        <v>24</v>
      </c>
      <c r="J60" s="36"/>
      <c r="K60" s="36"/>
      <c r="L60" s="36"/>
      <c r="M60" s="36"/>
      <c r="N60" s="36">
        <f t="shared" si="2"/>
        <v>0</v>
      </c>
      <c r="O60" s="36"/>
      <c r="P60" s="36"/>
      <c r="Q60" s="36"/>
      <c r="R60" s="36"/>
    </row>
    <row r="61" spans="1:21" s="7" customFormat="1" ht="12.75" customHeight="1" x14ac:dyDescent="0.2">
      <c r="A61" s="86" t="s">
        <v>48</v>
      </c>
      <c r="B61" s="111"/>
      <c r="C61" s="111"/>
      <c r="E61" s="112">
        <v>5</v>
      </c>
      <c r="F61" s="113" t="s">
        <v>12</v>
      </c>
      <c r="G61" s="112" t="s">
        <v>29</v>
      </c>
      <c r="H61" s="114" t="s">
        <v>49</v>
      </c>
      <c r="J61" s="36">
        <v>1900</v>
      </c>
      <c r="K61" s="36"/>
      <c r="L61" s="36">
        <v>14860</v>
      </c>
      <c r="M61" s="36"/>
      <c r="N61" s="36">
        <f t="shared" si="2"/>
        <v>1020000</v>
      </c>
      <c r="O61" s="36"/>
      <c r="P61" s="36">
        <v>1034860</v>
      </c>
      <c r="Q61" s="36"/>
      <c r="R61" s="187">
        <v>1235000</v>
      </c>
      <c r="U61" s="7">
        <v>25392200</v>
      </c>
    </row>
    <row r="62" spans="1:21" s="7" customFormat="1" ht="12.75" customHeight="1" x14ac:dyDescent="0.2">
      <c r="A62" s="86" t="s">
        <v>50</v>
      </c>
      <c r="B62" s="111"/>
      <c r="C62" s="111"/>
      <c r="D62" s="112"/>
      <c r="E62" s="112">
        <v>5</v>
      </c>
      <c r="F62" s="113" t="s">
        <v>12</v>
      </c>
      <c r="G62" s="112" t="s">
        <v>34</v>
      </c>
      <c r="H62" s="112" t="s">
        <v>8</v>
      </c>
      <c r="J62" s="36">
        <v>2750580.93</v>
      </c>
      <c r="K62" s="36"/>
      <c r="L62" s="36"/>
      <c r="M62" s="36"/>
      <c r="N62" s="36"/>
      <c r="O62" s="36"/>
      <c r="P62" s="36"/>
      <c r="Q62" s="36"/>
      <c r="R62" s="36"/>
      <c r="U62" s="7">
        <v>1530000</v>
      </c>
    </row>
    <row r="63" spans="1:21" s="7" customFormat="1" ht="12.75" customHeight="1" x14ac:dyDescent="0.2">
      <c r="A63" s="86" t="s">
        <v>52</v>
      </c>
      <c r="B63" s="111"/>
      <c r="C63" s="111"/>
      <c r="D63" s="112"/>
      <c r="E63" s="112">
        <v>5</v>
      </c>
      <c r="F63" s="113" t="s">
        <v>12</v>
      </c>
      <c r="G63" s="112" t="s">
        <v>34</v>
      </c>
      <c r="H63" s="112" t="s">
        <v>10</v>
      </c>
      <c r="J63" s="36">
        <v>12455198.09</v>
      </c>
      <c r="K63" s="36"/>
      <c r="L63" s="36"/>
      <c r="M63" s="36"/>
      <c r="N63" s="36"/>
      <c r="O63" s="36"/>
      <c r="P63" s="36"/>
      <c r="Q63" s="36"/>
      <c r="R63" s="36"/>
      <c r="U63" s="7">
        <f>SUM(U58:U62)</f>
        <v>68225966.329999998</v>
      </c>
    </row>
    <row r="64" spans="1:21" s="7" customFormat="1" ht="12.75" hidden="1" customHeight="1" x14ac:dyDescent="0.2">
      <c r="A64" s="86" t="s">
        <v>48</v>
      </c>
      <c r="B64" s="111"/>
      <c r="C64" s="111"/>
      <c r="D64" s="112"/>
      <c r="E64" s="112">
        <v>5</v>
      </c>
      <c r="F64" s="113" t="s">
        <v>12</v>
      </c>
      <c r="G64" s="112" t="s">
        <v>29</v>
      </c>
      <c r="H64" s="114" t="s">
        <v>49</v>
      </c>
      <c r="J64" s="36"/>
      <c r="K64" s="36"/>
      <c r="L64" s="36"/>
      <c r="M64" s="36"/>
      <c r="N64" s="36">
        <f t="shared" si="2"/>
        <v>0</v>
      </c>
      <c r="O64" s="36"/>
      <c r="P64" s="36"/>
      <c r="Q64" s="36"/>
      <c r="R64" s="36"/>
    </row>
    <row r="65" spans="1:18" s="7" customFormat="1" ht="12.75" customHeight="1" x14ac:dyDescent="0.2">
      <c r="A65" s="86" t="s">
        <v>53</v>
      </c>
      <c r="B65" s="111"/>
      <c r="C65" s="111"/>
      <c r="E65" s="112">
        <v>5</v>
      </c>
      <c r="F65" s="113" t="s">
        <v>12</v>
      </c>
      <c r="G65" s="112" t="s">
        <v>54</v>
      </c>
      <c r="H65" s="112" t="s">
        <v>8</v>
      </c>
      <c r="J65" s="36"/>
      <c r="K65" s="36"/>
      <c r="L65" s="36"/>
      <c r="M65" s="36"/>
      <c r="N65" s="36">
        <f t="shared" si="2"/>
        <v>5000</v>
      </c>
      <c r="O65" s="36"/>
      <c r="P65" s="36">
        <v>5000</v>
      </c>
      <c r="Q65" s="36"/>
      <c r="R65" s="187">
        <v>5000</v>
      </c>
    </row>
    <row r="66" spans="1:18" s="7" customFormat="1" ht="12.75" customHeight="1" x14ac:dyDescent="0.2">
      <c r="A66" s="86" t="s">
        <v>55</v>
      </c>
      <c r="B66" s="111"/>
      <c r="C66" s="111"/>
      <c r="E66" s="112">
        <v>5</v>
      </c>
      <c r="F66" s="113" t="s">
        <v>12</v>
      </c>
      <c r="G66" s="112" t="s">
        <v>54</v>
      </c>
      <c r="H66" s="112" t="s">
        <v>10</v>
      </c>
      <c r="J66" s="36">
        <v>26711</v>
      </c>
      <c r="K66" s="36"/>
      <c r="L66" s="36"/>
      <c r="M66" s="36"/>
      <c r="N66" s="36"/>
      <c r="O66" s="36"/>
      <c r="P66" s="36"/>
      <c r="Q66" s="36"/>
      <c r="R66" s="36"/>
    </row>
    <row r="67" spans="1:18" s="7" customFormat="1" ht="12.75" hidden="1" customHeight="1" x14ac:dyDescent="0.2">
      <c r="A67" s="86" t="s">
        <v>56</v>
      </c>
      <c r="B67" s="111"/>
      <c r="C67" s="111"/>
      <c r="E67" s="112">
        <v>5</v>
      </c>
      <c r="F67" s="113" t="s">
        <v>12</v>
      </c>
      <c r="G67" s="112" t="s">
        <v>54</v>
      </c>
      <c r="H67" s="112" t="s">
        <v>15</v>
      </c>
      <c r="J67" s="36"/>
      <c r="K67" s="36"/>
      <c r="L67" s="36"/>
      <c r="M67" s="36"/>
      <c r="N67" s="36"/>
      <c r="O67" s="36"/>
      <c r="P67" s="36"/>
      <c r="Q67" s="36"/>
      <c r="R67" s="36"/>
    </row>
    <row r="68" spans="1:18" s="7" customFormat="1" ht="12.75" hidden="1" customHeight="1" x14ac:dyDescent="0.2">
      <c r="A68" s="86" t="s">
        <v>57</v>
      </c>
      <c r="B68" s="111"/>
      <c r="C68" s="111"/>
      <c r="E68" s="112">
        <v>5</v>
      </c>
      <c r="F68" s="113" t="s">
        <v>12</v>
      </c>
      <c r="G68" s="112" t="s">
        <v>54</v>
      </c>
      <c r="H68" s="112" t="s">
        <v>17</v>
      </c>
      <c r="J68" s="36"/>
      <c r="K68" s="36"/>
      <c r="L68" s="36"/>
      <c r="M68" s="36"/>
      <c r="N68" s="36">
        <f t="shared" si="2"/>
        <v>0</v>
      </c>
      <c r="O68" s="36"/>
      <c r="P68" s="36"/>
      <c r="Q68" s="36"/>
      <c r="R68" s="36"/>
    </row>
    <row r="69" spans="1:18" s="7" customFormat="1" ht="12.75" customHeight="1" x14ac:dyDescent="0.2">
      <c r="A69" s="86" t="s">
        <v>68</v>
      </c>
      <c r="B69" s="111"/>
      <c r="C69" s="111"/>
      <c r="E69" s="112">
        <v>5</v>
      </c>
      <c r="F69" s="113" t="s">
        <v>12</v>
      </c>
      <c r="G69" s="114" t="s">
        <v>67</v>
      </c>
      <c r="H69" s="114" t="s">
        <v>10</v>
      </c>
      <c r="J69" s="36"/>
      <c r="K69" s="36"/>
      <c r="L69" s="36"/>
      <c r="M69" s="36"/>
      <c r="N69" s="36">
        <f t="shared" si="2"/>
        <v>100000</v>
      </c>
      <c r="O69" s="36"/>
      <c r="P69" s="36">
        <v>100000</v>
      </c>
      <c r="Q69" s="36"/>
      <c r="R69" s="187">
        <v>100000</v>
      </c>
    </row>
    <row r="70" spans="1:18" s="7" customFormat="1" ht="12.75" hidden="1" customHeight="1" x14ac:dyDescent="0.2">
      <c r="A70" s="86" t="s">
        <v>66</v>
      </c>
      <c r="B70" s="111"/>
      <c r="C70" s="111"/>
      <c r="E70" s="112">
        <v>5</v>
      </c>
      <c r="F70" s="113" t="s">
        <v>12</v>
      </c>
      <c r="G70" s="112" t="s">
        <v>67</v>
      </c>
      <c r="H70" s="112" t="s">
        <v>8</v>
      </c>
      <c r="J70" s="36"/>
      <c r="K70" s="36"/>
      <c r="L70" s="36"/>
      <c r="M70" s="36"/>
      <c r="N70" s="36">
        <f t="shared" si="2"/>
        <v>0</v>
      </c>
      <c r="O70" s="36"/>
      <c r="P70" s="36"/>
      <c r="Q70" s="36"/>
      <c r="R70" s="36"/>
    </row>
    <row r="71" spans="1:18" s="7" customFormat="1" ht="12.75" hidden="1" customHeight="1" x14ac:dyDescent="0.2">
      <c r="A71" s="86" t="s">
        <v>63</v>
      </c>
      <c r="B71" s="111"/>
      <c r="C71" s="111"/>
      <c r="E71" s="112">
        <v>5</v>
      </c>
      <c r="F71" s="113" t="s">
        <v>12</v>
      </c>
      <c r="G71" s="112" t="s">
        <v>59</v>
      </c>
      <c r="H71" s="112" t="s">
        <v>64</v>
      </c>
      <c r="J71" s="36"/>
      <c r="K71" s="36"/>
      <c r="L71" s="36"/>
      <c r="M71" s="36"/>
      <c r="N71" s="36">
        <f t="shared" si="2"/>
        <v>0</v>
      </c>
      <c r="O71" s="36"/>
      <c r="P71" s="36"/>
      <c r="Q71" s="36"/>
      <c r="R71" s="36"/>
    </row>
    <row r="72" spans="1:18" s="7" customFormat="1" ht="12.75" hidden="1" customHeight="1" x14ac:dyDescent="0.2">
      <c r="A72" s="86" t="s">
        <v>155</v>
      </c>
      <c r="B72" s="111"/>
      <c r="C72" s="111"/>
      <c r="E72" s="112">
        <v>5</v>
      </c>
      <c r="F72" s="113" t="s">
        <v>12</v>
      </c>
      <c r="G72" s="112" t="s">
        <v>59</v>
      </c>
      <c r="H72" s="112" t="s">
        <v>15</v>
      </c>
      <c r="J72" s="36"/>
      <c r="K72" s="36"/>
      <c r="L72" s="36"/>
      <c r="M72" s="36"/>
      <c r="N72" s="36">
        <f t="shared" si="2"/>
        <v>0</v>
      </c>
      <c r="O72" s="36"/>
      <c r="P72" s="36"/>
      <c r="Q72" s="36"/>
      <c r="R72" s="36"/>
    </row>
    <row r="73" spans="1:18" s="7" customFormat="1" ht="12.75" hidden="1" customHeight="1" x14ac:dyDescent="0.2">
      <c r="A73" s="86" t="s">
        <v>156</v>
      </c>
      <c r="B73" s="111"/>
      <c r="C73" s="111"/>
      <c r="E73" s="112">
        <v>5</v>
      </c>
      <c r="F73" s="112" t="s">
        <v>12</v>
      </c>
      <c r="G73" s="112" t="s">
        <v>59</v>
      </c>
      <c r="H73" s="112" t="s">
        <v>17</v>
      </c>
      <c r="J73" s="36"/>
      <c r="K73" s="36"/>
      <c r="L73" s="36"/>
      <c r="M73" s="36"/>
      <c r="N73" s="36">
        <f t="shared" si="2"/>
        <v>0</v>
      </c>
      <c r="O73" s="36"/>
      <c r="P73" s="36"/>
      <c r="Q73" s="36"/>
      <c r="R73" s="36"/>
    </row>
    <row r="74" spans="1:18" s="7" customFormat="1" ht="12.75" hidden="1" customHeight="1" x14ac:dyDescent="0.2">
      <c r="A74" s="86" t="s">
        <v>63</v>
      </c>
      <c r="B74" s="111"/>
      <c r="C74" s="111"/>
      <c r="E74" s="112">
        <v>5</v>
      </c>
      <c r="F74" s="113" t="s">
        <v>12</v>
      </c>
      <c r="G74" s="112" t="s">
        <v>59</v>
      </c>
      <c r="H74" s="112" t="s">
        <v>64</v>
      </c>
      <c r="J74" s="36"/>
      <c r="K74" s="36"/>
      <c r="L74" s="36"/>
      <c r="M74" s="36"/>
      <c r="N74" s="36">
        <f t="shared" ref="N74:N112" si="3">P74-L74</f>
        <v>0</v>
      </c>
      <c r="O74" s="36"/>
      <c r="P74" s="36"/>
      <c r="Q74" s="36"/>
      <c r="R74" s="36"/>
    </row>
    <row r="75" spans="1:18" s="7" customFormat="1" ht="12.75" hidden="1" customHeight="1" x14ac:dyDescent="0.2">
      <c r="A75" s="86" t="s">
        <v>157</v>
      </c>
      <c r="B75" s="111"/>
      <c r="C75" s="111"/>
      <c r="E75" s="112">
        <v>5</v>
      </c>
      <c r="F75" s="113" t="s">
        <v>12</v>
      </c>
      <c r="G75" s="112" t="s">
        <v>93</v>
      </c>
      <c r="H75" s="112" t="s">
        <v>8</v>
      </c>
      <c r="J75" s="36"/>
      <c r="K75" s="36"/>
      <c r="L75" s="36"/>
      <c r="M75" s="36"/>
      <c r="N75" s="36">
        <f t="shared" si="3"/>
        <v>0</v>
      </c>
      <c r="O75" s="36"/>
      <c r="P75" s="36"/>
      <c r="Q75" s="36"/>
      <c r="R75" s="36"/>
    </row>
    <row r="76" spans="1:18" s="7" customFormat="1" ht="12.75" hidden="1" customHeight="1" x14ac:dyDescent="0.2">
      <c r="A76" s="86" t="s">
        <v>66</v>
      </c>
      <c r="B76" s="111"/>
      <c r="C76" s="111"/>
      <c r="E76" s="112">
        <v>5</v>
      </c>
      <c r="F76" s="113" t="s">
        <v>12</v>
      </c>
      <c r="G76" s="112" t="s">
        <v>67</v>
      </c>
      <c r="H76" s="112" t="s">
        <v>8</v>
      </c>
      <c r="J76" s="36"/>
      <c r="K76" s="36"/>
      <c r="L76" s="36"/>
      <c r="M76" s="36"/>
      <c r="N76" s="36">
        <f t="shared" si="3"/>
        <v>0</v>
      </c>
      <c r="O76" s="36"/>
      <c r="P76" s="36"/>
      <c r="Q76" s="36"/>
      <c r="R76" s="36"/>
    </row>
    <row r="77" spans="1:18" s="7" customFormat="1" ht="12.75" hidden="1" customHeight="1" x14ac:dyDescent="0.2">
      <c r="A77" s="86" t="s">
        <v>68</v>
      </c>
      <c r="B77" s="111"/>
      <c r="C77" s="111"/>
      <c r="E77" s="112">
        <v>5</v>
      </c>
      <c r="F77" s="113" t="s">
        <v>12</v>
      </c>
      <c r="G77" s="112" t="s">
        <v>67</v>
      </c>
      <c r="H77" s="112" t="s">
        <v>10</v>
      </c>
      <c r="J77" s="36"/>
      <c r="K77" s="36"/>
      <c r="L77" s="36"/>
      <c r="M77" s="36"/>
      <c r="N77" s="36">
        <f t="shared" si="3"/>
        <v>0</v>
      </c>
      <c r="O77" s="36"/>
      <c r="P77" s="36"/>
      <c r="Q77" s="36"/>
      <c r="R77" s="36"/>
    </row>
    <row r="78" spans="1:18" s="7" customFormat="1" ht="12.75" hidden="1" customHeight="1" x14ac:dyDescent="0.2">
      <c r="A78" s="86" t="s">
        <v>158</v>
      </c>
      <c r="B78" s="111"/>
      <c r="C78" s="111"/>
      <c r="E78" s="112">
        <v>5</v>
      </c>
      <c r="F78" s="113" t="s">
        <v>12</v>
      </c>
      <c r="G78" s="112" t="s">
        <v>70</v>
      </c>
      <c r="H78" s="112" t="s">
        <v>8</v>
      </c>
      <c r="J78" s="36"/>
      <c r="K78" s="36"/>
      <c r="L78" s="36"/>
      <c r="M78" s="36"/>
      <c r="N78" s="36">
        <f t="shared" si="3"/>
        <v>0</v>
      </c>
      <c r="O78" s="36"/>
      <c r="P78" s="36"/>
      <c r="Q78" s="36"/>
      <c r="R78" s="36"/>
    </row>
    <row r="79" spans="1:18" s="7" customFormat="1" ht="12.75" hidden="1" customHeight="1" x14ac:dyDescent="0.2">
      <c r="A79" s="86" t="s">
        <v>159</v>
      </c>
      <c r="B79" s="111"/>
      <c r="C79" s="111"/>
      <c r="E79" s="112">
        <v>5</v>
      </c>
      <c r="F79" s="113" t="s">
        <v>12</v>
      </c>
      <c r="G79" s="112" t="s">
        <v>70</v>
      </c>
      <c r="H79" s="112" t="s">
        <v>10</v>
      </c>
      <c r="J79" s="36"/>
      <c r="K79" s="36"/>
      <c r="L79" s="36"/>
      <c r="M79" s="36"/>
      <c r="N79" s="36">
        <f t="shared" si="3"/>
        <v>0</v>
      </c>
      <c r="O79" s="36"/>
      <c r="P79" s="36"/>
      <c r="Q79" s="36"/>
      <c r="R79" s="36"/>
    </row>
    <row r="80" spans="1:18" s="7" customFormat="1" ht="12.75" hidden="1" customHeight="1" x14ac:dyDescent="0.2">
      <c r="A80" s="86" t="s">
        <v>69</v>
      </c>
      <c r="B80" s="111"/>
      <c r="C80" s="111"/>
      <c r="E80" s="112">
        <v>5</v>
      </c>
      <c r="F80" s="113" t="s">
        <v>12</v>
      </c>
      <c r="G80" s="112" t="s">
        <v>70</v>
      </c>
      <c r="H80" s="112" t="s">
        <v>15</v>
      </c>
      <c r="J80" s="36"/>
      <c r="K80" s="36"/>
      <c r="L80" s="36"/>
      <c r="M80" s="36"/>
      <c r="N80" s="36">
        <f t="shared" si="3"/>
        <v>0</v>
      </c>
      <c r="O80" s="36"/>
      <c r="P80" s="36"/>
      <c r="Q80" s="36"/>
      <c r="R80" s="36"/>
    </row>
    <row r="81" spans="1:18" s="7" customFormat="1" ht="12.75" hidden="1" customHeight="1" x14ac:dyDescent="0.2">
      <c r="A81" s="86" t="s">
        <v>160</v>
      </c>
      <c r="B81" s="111"/>
      <c r="C81" s="111"/>
      <c r="E81" s="112">
        <v>5</v>
      </c>
      <c r="F81" s="113" t="s">
        <v>12</v>
      </c>
      <c r="G81" s="112" t="s">
        <v>163</v>
      </c>
      <c r="H81" s="112" t="s">
        <v>8</v>
      </c>
      <c r="J81" s="36"/>
      <c r="K81" s="36"/>
      <c r="L81" s="36"/>
      <c r="M81" s="36"/>
      <c r="N81" s="36">
        <f t="shared" si="3"/>
        <v>0</v>
      </c>
      <c r="O81" s="36"/>
      <c r="P81" s="36"/>
      <c r="Q81" s="36"/>
      <c r="R81" s="36"/>
    </row>
    <row r="82" spans="1:18" s="7" customFormat="1" ht="12.75" hidden="1" customHeight="1" x14ac:dyDescent="0.2">
      <c r="A82" s="86" t="s">
        <v>161</v>
      </c>
      <c r="B82" s="111"/>
      <c r="C82" s="111"/>
      <c r="E82" s="112">
        <v>5</v>
      </c>
      <c r="F82" s="113" t="s">
        <v>12</v>
      </c>
      <c r="G82" s="112" t="s">
        <v>163</v>
      </c>
      <c r="H82" s="114" t="s">
        <v>49</v>
      </c>
      <c r="J82" s="36"/>
      <c r="K82" s="36"/>
      <c r="L82" s="36"/>
      <c r="M82" s="36"/>
      <c r="N82" s="36">
        <f t="shared" si="3"/>
        <v>0</v>
      </c>
      <c r="O82" s="36"/>
      <c r="P82" s="36"/>
      <c r="Q82" s="36"/>
      <c r="R82" s="36"/>
    </row>
    <row r="83" spans="1:18" s="7" customFormat="1" ht="12.75" hidden="1" customHeight="1" x14ac:dyDescent="0.2">
      <c r="A83" s="86" t="s">
        <v>71</v>
      </c>
      <c r="B83" s="111"/>
      <c r="C83" s="111"/>
      <c r="E83" s="112">
        <v>5</v>
      </c>
      <c r="F83" s="113" t="s">
        <v>12</v>
      </c>
      <c r="G83" s="112" t="s">
        <v>163</v>
      </c>
      <c r="H83" s="112" t="s">
        <v>10</v>
      </c>
      <c r="J83" s="36"/>
      <c r="K83" s="36"/>
      <c r="L83" s="36"/>
      <c r="M83" s="36"/>
      <c r="N83" s="36">
        <f t="shared" si="3"/>
        <v>0</v>
      </c>
      <c r="O83" s="36"/>
      <c r="P83" s="36"/>
      <c r="Q83" s="36"/>
      <c r="R83" s="36"/>
    </row>
    <row r="84" spans="1:18" s="7" customFormat="1" ht="12.75" hidden="1" customHeight="1" x14ac:dyDescent="0.2">
      <c r="A84" s="86" t="s">
        <v>162</v>
      </c>
      <c r="B84" s="111"/>
      <c r="C84" s="111"/>
      <c r="E84" s="112">
        <v>5</v>
      </c>
      <c r="F84" s="113" t="s">
        <v>12</v>
      </c>
      <c r="G84" s="112" t="s">
        <v>163</v>
      </c>
      <c r="H84" s="112" t="s">
        <v>15</v>
      </c>
      <c r="J84" s="36"/>
      <c r="K84" s="36"/>
      <c r="L84" s="36"/>
      <c r="M84" s="36"/>
      <c r="N84" s="36">
        <f t="shared" si="3"/>
        <v>0</v>
      </c>
      <c r="O84" s="36"/>
      <c r="P84" s="36"/>
      <c r="Q84" s="36"/>
      <c r="R84" s="36"/>
    </row>
    <row r="85" spans="1:18" s="7" customFormat="1" ht="12.75" hidden="1" customHeight="1" x14ac:dyDescent="0.2">
      <c r="A85" s="86" t="s">
        <v>72</v>
      </c>
      <c r="B85" s="111"/>
      <c r="C85" s="111"/>
      <c r="E85" s="112">
        <v>5</v>
      </c>
      <c r="F85" s="113" t="s">
        <v>12</v>
      </c>
      <c r="G85" s="112" t="s">
        <v>70</v>
      </c>
      <c r="H85" s="112" t="s">
        <v>49</v>
      </c>
      <c r="J85" s="36"/>
      <c r="K85" s="36"/>
      <c r="L85" s="36"/>
      <c r="M85" s="36"/>
      <c r="N85" s="36">
        <f t="shared" si="3"/>
        <v>0</v>
      </c>
      <c r="O85" s="36"/>
      <c r="P85" s="36"/>
      <c r="Q85" s="36"/>
      <c r="R85" s="36"/>
    </row>
    <row r="86" spans="1:18" s="7" customFormat="1" ht="12.75" hidden="1" customHeight="1" x14ac:dyDescent="0.2">
      <c r="A86" s="86" t="s">
        <v>164</v>
      </c>
      <c r="B86" s="111"/>
      <c r="C86" s="111"/>
      <c r="E86" s="112">
        <v>5</v>
      </c>
      <c r="F86" s="113" t="s">
        <v>12</v>
      </c>
      <c r="G86" s="112" t="s">
        <v>74</v>
      </c>
      <c r="H86" s="112" t="s">
        <v>10</v>
      </c>
      <c r="J86" s="36"/>
      <c r="K86" s="36"/>
      <c r="L86" s="36"/>
      <c r="M86" s="36"/>
      <c r="N86" s="36">
        <f t="shared" si="3"/>
        <v>0</v>
      </c>
      <c r="O86" s="36"/>
      <c r="P86" s="36"/>
      <c r="Q86" s="36"/>
      <c r="R86" s="36"/>
    </row>
    <row r="87" spans="1:18" s="7" customFormat="1" ht="12.75" hidden="1" customHeight="1" x14ac:dyDescent="0.2">
      <c r="A87" s="86" t="s">
        <v>165</v>
      </c>
      <c r="B87" s="111"/>
      <c r="C87" s="111"/>
      <c r="E87" s="112">
        <v>5</v>
      </c>
      <c r="F87" s="113" t="s">
        <v>12</v>
      </c>
      <c r="G87" s="112" t="s">
        <v>74</v>
      </c>
      <c r="H87" s="112" t="s">
        <v>15</v>
      </c>
      <c r="J87" s="36"/>
      <c r="K87" s="36"/>
      <c r="L87" s="36"/>
      <c r="M87" s="36"/>
      <c r="N87" s="36">
        <f t="shared" si="3"/>
        <v>0</v>
      </c>
      <c r="O87" s="36"/>
      <c r="P87" s="36"/>
      <c r="Q87" s="36"/>
      <c r="R87" s="36"/>
    </row>
    <row r="88" spans="1:18" s="7" customFormat="1" ht="12.75" hidden="1" customHeight="1" x14ac:dyDescent="0.2">
      <c r="A88" s="86" t="s">
        <v>166</v>
      </c>
      <c r="B88" s="111"/>
      <c r="C88" s="111"/>
      <c r="E88" s="112">
        <v>5</v>
      </c>
      <c r="F88" s="113" t="s">
        <v>12</v>
      </c>
      <c r="G88" s="112" t="s">
        <v>74</v>
      </c>
      <c r="H88" s="112" t="s">
        <v>17</v>
      </c>
      <c r="J88" s="36"/>
      <c r="K88" s="36"/>
      <c r="L88" s="36"/>
      <c r="M88" s="36"/>
      <c r="N88" s="36">
        <f t="shared" si="3"/>
        <v>0</v>
      </c>
      <c r="O88" s="36"/>
      <c r="P88" s="36"/>
      <c r="Q88" s="36"/>
      <c r="R88" s="36"/>
    </row>
    <row r="89" spans="1:18" s="7" customFormat="1" ht="12.75" hidden="1" customHeight="1" x14ac:dyDescent="0.2">
      <c r="A89" s="86" t="s">
        <v>167</v>
      </c>
      <c r="B89" s="111"/>
      <c r="C89" s="111"/>
      <c r="E89" s="112">
        <v>5</v>
      </c>
      <c r="F89" s="113" t="s">
        <v>12</v>
      </c>
      <c r="G89" s="112" t="s">
        <v>74</v>
      </c>
      <c r="H89" s="112" t="s">
        <v>8</v>
      </c>
      <c r="J89" s="36"/>
      <c r="K89" s="36"/>
      <c r="L89" s="36"/>
      <c r="M89" s="36"/>
      <c r="N89" s="36">
        <f t="shared" si="3"/>
        <v>0</v>
      </c>
      <c r="O89" s="36"/>
      <c r="P89" s="36"/>
      <c r="Q89" s="36"/>
      <c r="R89" s="36"/>
    </row>
    <row r="90" spans="1:18" s="7" customFormat="1" ht="12.75" hidden="1" customHeight="1" x14ac:dyDescent="0.2">
      <c r="A90" s="86" t="s">
        <v>168</v>
      </c>
      <c r="B90" s="111"/>
      <c r="C90" s="111"/>
      <c r="E90" s="112">
        <v>5</v>
      </c>
      <c r="F90" s="113" t="s">
        <v>12</v>
      </c>
      <c r="G90" s="112" t="s">
        <v>74</v>
      </c>
      <c r="H90" s="112" t="s">
        <v>45</v>
      </c>
      <c r="J90" s="36"/>
      <c r="K90" s="36"/>
      <c r="L90" s="36"/>
      <c r="M90" s="36"/>
      <c r="N90" s="36">
        <f t="shared" si="3"/>
        <v>0</v>
      </c>
      <c r="O90" s="36"/>
      <c r="P90" s="36"/>
      <c r="Q90" s="36"/>
      <c r="R90" s="36"/>
    </row>
    <row r="91" spans="1:18" s="7" customFormat="1" ht="12.75" hidden="1" customHeight="1" x14ac:dyDescent="0.2">
      <c r="A91" s="86" t="s">
        <v>73</v>
      </c>
      <c r="B91" s="111"/>
      <c r="C91" s="111"/>
      <c r="E91" s="112">
        <v>5</v>
      </c>
      <c r="F91" s="113" t="s">
        <v>12</v>
      </c>
      <c r="G91" s="112" t="s">
        <v>74</v>
      </c>
      <c r="H91" s="112" t="s">
        <v>64</v>
      </c>
      <c r="J91" s="36"/>
      <c r="K91" s="36"/>
      <c r="L91" s="36"/>
      <c r="M91" s="36"/>
      <c r="N91" s="36">
        <f t="shared" si="3"/>
        <v>0</v>
      </c>
      <c r="O91" s="36"/>
      <c r="P91" s="36"/>
      <c r="Q91" s="36"/>
      <c r="R91" s="36"/>
    </row>
    <row r="92" spans="1:18" s="7" customFormat="1" ht="12.75" customHeight="1" x14ac:dyDescent="0.2">
      <c r="A92" s="86" t="s">
        <v>75</v>
      </c>
      <c r="B92" s="111"/>
      <c r="C92" s="111"/>
      <c r="E92" s="112">
        <v>5</v>
      </c>
      <c r="F92" s="113" t="s">
        <v>12</v>
      </c>
      <c r="G92" s="112" t="s">
        <v>74</v>
      </c>
      <c r="H92" s="112" t="s">
        <v>19</v>
      </c>
      <c r="J92" s="36">
        <v>5700</v>
      </c>
      <c r="K92" s="36"/>
      <c r="L92" s="36"/>
      <c r="M92" s="36"/>
      <c r="N92" s="36"/>
      <c r="O92" s="36"/>
      <c r="P92" s="36"/>
      <c r="Q92" s="36"/>
      <c r="R92" s="36"/>
    </row>
    <row r="93" spans="1:18" s="7" customFormat="1" ht="12.75" hidden="1" customHeight="1" x14ac:dyDescent="0.2">
      <c r="A93" s="86" t="s">
        <v>76</v>
      </c>
      <c r="B93" s="111"/>
      <c r="C93" s="111"/>
      <c r="E93" s="112">
        <v>5</v>
      </c>
      <c r="F93" s="113" t="s">
        <v>12</v>
      </c>
      <c r="G93" s="112" t="s">
        <v>74</v>
      </c>
      <c r="H93" s="112" t="s">
        <v>60</v>
      </c>
      <c r="J93" s="36"/>
      <c r="K93" s="36"/>
      <c r="L93" s="36"/>
      <c r="M93" s="36"/>
      <c r="N93" s="36">
        <f t="shared" si="3"/>
        <v>0</v>
      </c>
      <c r="O93" s="36"/>
      <c r="P93" s="36"/>
      <c r="Q93" s="36"/>
      <c r="R93" s="36"/>
    </row>
    <row r="94" spans="1:18" s="7" customFormat="1" ht="12.75" hidden="1" customHeight="1" x14ac:dyDescent="0.2">
      <c r="A94" s="86" t="s">
        <v>77</v>
      </c>
      <c r="B94" s="111"/>
      <c r="C94" s="111"/>
      <c r="E94" s="112">
        <v>5</v>
      </c>
      <c r="F94" s="113" t="s">
        <v>12</v>
      </c>
      <c r="G94" s="112" t="s">
        <v>74</v>
      </c>
      <c r="H94" s="112" t="s">
        <v>49</v>
      </c>
      <c r="J94" s="36">
        <v>0</v>
      </c>
      <c r="K94" s="36"/>
      <c r="L94" s="36"/>
      <c r="M94" s="36"/>
      <c r="N94" s="36">
        <f t="shared" si="3"/>
        <v>0</v>
      </c>
      <c r="O94" s="36"/>
      <c r="P94" s="36"/>
      <c r="Q94" s="36"/>
      <c r="R94" s="36"/>
    </row>
    <row r="95" spans="1:18" s="7" customFormat="1" ht="12.75" hidden="1" customHeight="1" x14ac:dyDescent="0.2">
      <c r="A95" s="86" t="s">
        <v>165</v>
      </c>
      <c r="B95" s="111"/>
      <c r="C95" s="111"/>
      <c r="E95" s="112">
        <v>5</v>
      </c>
      <c r="F95" s="113" t="s">
        <v>12</v>
      </c>
      <c r="G95" s="112" t="s">
        <v>74</v>
      </c>
      <c r="H95" s="112" t="s">
        <v>15</v>
      </c>
      <c r="J95" s="36"/>
      <c r="K95" s="36"/>
      <c r="L95" s="36"/>
      <c r="M95" s="36"/>
      <c r="N95" s="36">
        <f t="shared" si="3"/>
        <v>0</v>
      </c>
      <c r="O95" s="36"/>
      <c r="P95" s="36"/>
      <c r="Q95" s="36"/>
      <c r="R95" s="36"/>
    </row>
    <row r="96" spans="1:18" s="7" customFormat="1" ht="12.75" hidden="1" customHeight="1" x14ac:dyDescent="0.2">
      <c r="A96" s="86" t="s">
        <v>78</v>
      </c>
      <c r="B96" s="111"/>
      <c r="C96" s="111"/>
      <c r="E96" s="112">
        <v>5</v>
      </c>
      <c r="F96" s="113" t="s">
        <v>12</v>
      </c>
      <c r="G96" s="112" t="s">
        <v>79</v>
      </c>
      <c r="H96" s="112" t="s">
        <v>10</v>
      </c>
      <c r="J96" s="36"/>
      <c r="K96" s="36"/>
      <c r="L96" s="36"/>
      <c r="M96" s="36"/>
      <c r="N96" s="36">
        <f t="shared" si="3"/>
        <v>0</v>
      </c>
      <c r="O96" s="36"/>
      <c r="P96" s="36"/>
      <c r="Q96" s="36"/>
      <c r="R96" s="36"/>
    </row>
    <row r="97" spans="1:18" s="7" customFormat="1" ht="12.75" hidden="1" customHeight="1" x14ac:dyDescent="0.2">
      <c r="A97" s="86" t="s">
        <v>80</v>
      </c>
      <c r="B97" s="111"/>
      <c r="C97" s="111"/>
      <c r="E97" s="112">
        <v>5</v>
      </c>
      <c r="F97" s="113" t="s">
        <v>12</v>
      </c>
      <c r="G97" s="112" t="s">
        <v>79</v>
      </c>
      <c r="H97" s="112" t="s">
        <v>15</v>
      </c>
      <c r="J97" s="36"/>
      <c r="K97" s="36"/>
      <c r="L97" s="36"/>
      <c r="M97" s="36"/>
      <c r="N97" s="36">
        <f t="shared" si="3"/>
        <v>0</v>
      </c>
      <c r="O97" s="36"/>
      <c r="P97" s="36"/>
      <c r="Q97" s="36"/>
      <c r="R97" s="36"/>
    </row>
    <row r="98" spans="1:18" s="7" customFormat="1" ht="12.75" hidden="1" customHeight="1" x14ac:dyDescent="0.2">
      <c r="A98" s="86" t="s">
        <v>169</v>
      </c>
      <c r="B98" s="111"/>
      <c r="C98" s="111"/>
      <c r="E98" s="112">
        <v>5</v>
      </c>
      <c r="F98" s="113" t="s">
        <v>12</v>
      </c>
      <c r="G98" s="112" t="s">
        <v>79</v>
      </c>
      <c r="H98" s="113" t="s">
        <v>60</v>
      </c>
      <c r="J98" s="36"/>
      <c r="K98" s="36"/>
      <c r="L98" s="36"/>
      <c r="M98" s="36"/>
      <c r="N98" s="36">
        <f t="shared" si="3"/>
        <v>0</v>
      </c>
      <c r="O98" s="36"/>
      <c r="P98" s="36"/>
      <c r="Q98" s="36"/>
      <c r="R98" s="36"/>
    </row>
    <row r="99" spans="1:18" s="7" customFormat="1" ht="12.75" hidden="1" customHeight="1" x14ac:dyDescent="0.2">
      <c r="A99" s="86" t="s">
        <v>170</v>
      </c>
      <c r="B99" s="111"/>
      <c r="C99" s="111"/>
      <c r="E99" s="112">
        <v>5</v>
      </c>
      <c r="F99" s="113" t="s">
        <v>12</v>
      </c>
      <c r="G99" s="112" t="s">
        <v>79</v>
      </c>
      <c r="H99" s="113" t="s">
        <v>19</v>
      </c>
      <c r="J99" s="36"/>
      <c r="K99" s="36"/>
      <c r="L99" s="36"/>
      <c r="M99" s="36"/>
      <c r="N99" s="36">
        <f t="shared" si="3"/>
        <v>0</v>
      </c>
      <c r="O99" s="36"/>
      <c r="P99" s="36"/>
      <c r="Q99" s="36"/>
      <c r="R99" s="36"/>
    </row>
    <row r="100" spans="1:18" s="7" customFormat="1" ht="12.75" hidden="1" customHeight="1" x14ac:dyDescent="0.2">
      <c r="A100" s="86" t="s">
        <v>171</v>
      </c>
      <c r="B100" s="111"/>
      <c r="C100" s="111"/>
      <c r="E100" s="112">
        <v>5</v>
      </c>
      <c r="F100" s="113" t="s">
        <v>12</v>
      </c>
      <c r="G100" s="112" t="s">
        <v>79</v>
      </c>
      <c r="H100" s="113" t="s">
        <v>82</v>
      </c>
      <c r="J100" s="36"/>
      <c r="K100" s="36"/>
      <c r="L100" s="36"/>
      <c r="M100" s="36"/>
      <c r="N100" s="36">
        <f t="shared" si="3"/>
        <v>0</v>
      </c>
      <c r="O100" s="36"/>
      <c r="P100" s="36"/>
      <c r="Q100" s="36"/>
      <c r="R100" s="36"/>
    </row>
    <row r="101" spans="1:18" s="7" customFormat="1" ht="12.75" hidden="1" customHeight="1" x14ac:dyDescent="0.2">
      <c r="A101" s="86" t="s">
        <v>81</v>
      </c>
      <c r="B101" s="111"/>
      <c r="C101" s="111"/>
      <c r="E101" s="112">
        <v>5</v>
      </c>
      <c r="F101" s="113" t="s">
        <v>12</v>
      </c>
      <c r="G101" s="112" t="s">
        <v>59</v>
      </c>
      <c r="H101" s="113" t="s">
        <v>82</v>
      </c>
      <c r="J101" s="36"/>
      <c r="K101" s="36"/>
      <c r="L101" s="36"/>
      <c r="M101" s="36"/>
      <c r="N101" s="36">
        <f t="shared" si="3"/>
        <v>0</v>
      </c>
      <c r="O101" s="36"/>
      <c r="P101" s="36"/>
      <c r="Q101" s="36"/>
      <c r="R101" s="36"/>
    </row>
    <row r="102" spans="1:18" s="7" customFormat="1" ht="12.75" hidden="1" customHeight="1" x14ac:dyDescent="0.2">
      <c r="A102" s="86" t="s">
        <v>83</v>
      </c>
      <c r="B102" s="111"/>
      <c r="C102" s="111"/>
      <c r="E102" s="112">
        <v>5</v>
      </c>
      <c r="F102" s="113" t="s">
        <v>12</v>
      </c>
      <c r="G102" s="112" t="s">
        <v>84</v>
      </c>
      <c r="H102" s="113" t="s">
        <v>8</v>
      </c>
      <c r="J102" s="36"/>
      <c r="K102" s="36"/>
      <c r="L102" s="36"/>
      <c r="M102" s="36"/>
      <c r="N102" s="36">
        <f t="shared" si="3"/>
        <v>0</v>
      </c>
      <c r="O102" s="36"/>
      <c r="P102" s="36"/>
      <c r="Q102" s="36"/>
      <c r="R102" s="36"/>
    </row>
    <row r="103" spans="1:18" s="7" customFormat="1" ht="12.75" hidden="1" customHeight="1" x14ac:dyDescent="0.2">
      <c r="A103" s="86" t="s">
        <v>85</v>
      </c>
      <c r="B103" s="111"/>
      <c r="C103" s="111"/>
      <c r="E103" s="112">
        <v>5</v>
      </c>
      <c r="F103" s="113" t="s">
        <v>12</v>
      </c>
      <c r="G103" s="112" t="s">
        <v>84</v>
      </c>
      <c r="H103" s="113" t="s">
        <v>10</v>
      </c>
      <c r="J103" s="36"/>
      <c r="K103" s="36"/>
      <c r="L103" s="36"/>
      <c r="M103" s="36"/>
      <c r="N103" s="36">
        <f t="shared" si="3"/>
        <v>0</v>
      </c>
      <c r="O103" s="36"/>
      <c r="P103" s="36"/>
      <c r="Q103" s="36"/>
      <c r="R103" s="36"/>
    </row>
    <row r="104" spans="1:18" s="7" customFormat="1" ht="12.75" hidden="1" customHeight="1" x14ac:dyDescent="0.2">
      <c r="A104" s="86" t="s">
        <v>86</v>
      </c>
      <c r="B104" s="111"/>
      <c r="C104" s="111"/>
      <c r="E104" s="112">
        <v>5</v>
      </c>
      <c r="F104" s="113" t="s">
        <v>12</v>
      </c>
      <c r="G104" s="112" t="s">
        <v>84</v>
      </c>
      <c r="H104" s="113" t="s">
        <v>15</v>
      </c>
      <c r="J104" s="36"/>
      <c r="K104" s="36"/>
      <c r="L104" s="36"/>
      <c r="M104" s="36"/>
      <c r="N104" s="36">
        <f t="shared" si="3"/>
        <v>0</v>
      </c>
      <c r="O104" s="36"/>
      <c r="P104" s="36"/>
      <c r="Q104" s="36"/>
      <c r="R104" s="36"/>
    </row>
    <row r="105" spans="1:18" s="7" customFormat="1" ht="12.75" hidden="1" customHeight="1" x14ac:dyDescent="0.2">
      <c r="A105" s="86" t="s">
        <v>172</v>
      </c>
      <c r="B105" s="111"/>
      <c r="C105" s="111"/>
      <c r="E105" s="112">
        <v>5</v>
      </c>
      <c r="F105" s="113" t="s">
        <v>12</v>
      </c>
      <c r="G105" s="112" t="s">
        <v>174</v>
      </c>
      <c r="H105" s="113" t="s">
        <v>8</v>
      </c>
      <c r="J105" s="36"/>
      <c r="K105" s="36"/>
      <c r="L105" s="36"/>
      <c r="M105" s="36"/>
      <c r="N105" s="36">
        <f t="shared" si="3"/>
        <v>0</v>
      </c>
      <c r="O105" s="36"/>
      <c r="P105" s="36"/>
      <c r="Q105" s="36"/>
      <c r="R105" s="36"/>
    </row>
    <row r="106" spans="1:18" s="7" customFormat="1" ht="12.75" hidden="1" customHeight="1" x14ac:dyDescent="0.2">
      <c r="A106" s="86" t="s">
        <v>173</v>
      </c>
      <c r="B106" s="111"/>
      <c r="C106" s="111"/>
      <c r="E106" s="112">
        <v>5</v>
      </c>
      <c r="F106" s="113" t="s">
        <v>12</v>
      </c>
      <c r="G106" s="112" t="s">
        <v>174</v>
      </c>
      <c r="H106" s="113" t="s">
        <v>10</v>
      </c>
      <c r="J106" s="36"/>
      <c r="K106" s="36"/>
      <c r="L106" s="36"/>
      <c r="M106" s="36"/>
      <c r="N106" s="36">
        <f t="shared" si="3"/>
        <v>0</v>
      </c>
      <c r="O106" s="36"/>
      <c r="P106" s="36"/>
      <c r="Q106" s="36"/>
      <c r="R106" s="36"/>
    </row>
    <row r="107" spans="1:18" s="7" customFormat="1" ht="12.75" hidden="1" customHeight="1" x14ac:dyDescent="0.2">
      <c r="A107" s="86" t="s">
        <v>87</v>
      </c>
      <c r="B107" s="111"/>
      <c r="C107" s="111"/>
      <c r="E107" s="112">
        <v>5</v>
      </c>
      <c r="F107" s="113" t="s">
        <v>12</v>
      </c>
      <c r="G107" s="112" t="s">
        <v>174</v>
      </c>
      <c r="H107" s="113" t="s">
        <v>15</v>
      </c>
      <c r="J107" s="36"/>
      <c r="K107" s="36"/>
      <c r="L107" s="36"/>
      <c r="M107" s="36"/>
      <c r="N107" s="36">
        <f t="shared" si="3"/>
        <v>0</v>
      </c>
      <c r="O107" s="36"/>
      <c r="P107" s="36"/>
      <c r="Q107" s="36"/>
      <c r="R107" s="36"/>
    </row>
    <row r="108" spans="1:18" s="7" customFormat="1" ht="12.75" customHeight="1" x14ac:dyDescent="0.2">
      <c r="A108" s="86" t="s">
        <v>61</v>
      </c>
      <c r="B108" s="111"/>
      <c r="C108" s="111"/>
      <c r="E108" s="112">
        <v>5</v>
      </c>
      <c r="F108" s="113" t="s">
        <v>12</v>
      </c>
      <c r="G108" s="112" t="s">
        <v>59</v>
      </c>
      <c r="H108" s="112" t="s">
        <v>8</v>
      </c>
      <c r="J108" s="36">
        <v>440638.71999999997</v>
      </c>
      <c r="K108" s="36"/>
      <c r="L108" s="36"/>
      <c r="M108" s="36"/>
      <c r="N108" s="36">
        <f t="shared" ref="N108:N109" si="4">P108-L108</f>
        <v>1500000</v>
      </c>
      <c r="O108" s="36"/>
      <c r="P108" s="36">
        <v>1500000</v>
      </c>
      <c r="Q108" s="36"/>
      <c r="R108" s="187">
        <v>1500000</v>
      </c>
    </row>
    <row r="109" spans="1:18" s="7" customFormat="1" ht="12.75" customHeight="1" x14ac:dyDescent="0.2">
      <c r="A109" s="86" t="s">
        <v>62</v>
      </c>
      <c r="B109" s="111"/>
      <c r="C109" s="111"/>
      <c r="E109" s="112">
        <v>5</v>
      </c>
      <c r="F109" s="113" t="s">
        <v>12</v>
      </c>
      <c r="G109" s="112" t="s">
        <v>59</v>
      </c>
      <c r="H109" s="112" t="s">
        <v>10</v>
      </c>
      <c r="J109" s="36"/>
      <c r="K109" s="36"/>
      <c r="L109" s="36"/>
      <c r="M109" s="36"/>
      <c r="N109" s="36">
        <f t="shared" si="4"/>
        <v>200000</v>
      </c>
      <c r="O109" s="36"/>
      <c r="P109" s="36">
        <v>200000</v>
      </c>
      <c r="Q109" s="36"/>
      <c r="R109" s="187">
        <v>220000</v>
      </c>
    </row>
    <row r="110" spans="1:18" s="7" customFormat="1" ht="12.75" customHeight="1" x14ac:dyDescent="0.2">
      <c r="A110" s="86" t="s">
        <v>58</v>
      </c>
      <c r="B110" s="111"/>
      <c r="C110" s="111"/>
      <c r="E110" s="112">
        <v>5</v>
      </c>
      <c r="F110" s="112" t="s">
        <v>12</v>
      </c>
      <c r="G110" s="112" t="s">
        <v>59</v>
      </c>
      <c r="H110" s="112" t="s">
        <v>60</v>
      </c>
      <c r="J110" s="36"/>
      <c r="K110" s="36"/>
      <c r="L110" s="36"/>
      <c r="M110" s="36"/>
      <c r="N110" s="36">
        <f>P110-L110</f>
        <v>5000</v>
      </c>
      <c r="O110" s="36"/>
      <c r="P110" s="36">
        <v>5000</v>
      </c>
      <c r="Q110" s="36"/>
      <c r="R110" s="187">
        <v>5000</v>
      </c>
    </row>
    <row r="111" spans="1:18" s="7" customFormat="1" ht="12.75" customHeight="1" x14ac:dyDescent="0.2">
      <c r="A111" s="86" t="s">
        <v>65</v>
      </c>
      <c r="B111" s="111"/>
      <c r="C111" s="111"/>
      <c r="E111" s="112">
        <v>5</v>
      </c>
      <c r="F111" s="113" t="s">
        <v>12</v>
      </c>
      <c r="G111" s="112" t="s">
        <v>59</v>
      </c>
      <c r="H111" s="112" t="s">
        <v>19</v>
      </c>
      <c r="J111" s="36"/>
      <c r="K111" s="36"/>
      <c r="L111" s="36"/>
      <c r="M111" s="36"/>
      <c r="N111" s="36">
        <f>P111-L111</f>
        <v>5000</v>
      </c>
      <c r="O111" s="36"/>
      <c r="P111" s="36">
        <v>5000</v>
      </c>
      <c r="Q111" s="36"/>
      <c r="R111" s="190">
        <v>5000</v>
      </c>
    </row>
    <row r="112" spans="1:18" s="7" customFormat="1" ht="12.75" customHeight="1" x14ac:dyDescent="0.2">
      <c r="A112" s="86" t="s">
        <v>260</v>
      </c>
      <c r="B112" s="111"/>
      <c r="C112" s="111"/>
      <c r="E112" s="112">
        <v>5</v>
      </c>
      <c r="F112" s="113" t="s">
        <v>12</v>
      </c>
      <c r="G112" s="134">
        <v>99</v>
      </c>
      <c r="H112" s="135">
        <v>990</v>
      </c>
      <c r="J112" s="36">
        <v>19390</v>
      </c>
      <c r="K112" s="36"/>
      <c r="L112" s="36"/>
      <c r="M112" s="36"/>
      <c r="N112" s="36">
        <f t="shared" si="3"/>
        <v>1050000</v>
      </c>
      <c r="O112" s="36"/>
      <c r="P112" s="36">
        <v>1050000</v>
      </c>
      <c r="Q112" s="36"/>
      <c r="R112" s="188">
        <v>1050000</v>
      </c>
    </row>
    <row r="113" spans="1:18" s="7" customFormat="1" ht="18.95" customHeight="1" x14ac:dyDescent="0.2">
      <c r="A113" s="323" t="s">
        <v>191</v>
      </c>
      <c r="B113" s="323"/>
      <c r="C113" s="323"/>
      <c r="J113" s="161">
        <f>SUM(J44:J112)</f>
        <v>18524600.239999998</v>
      </c>
      <c r="K113" s="162"/>
      <c r="L113" s="161">
        <f>SUM(L44:L112)</f>
        <v>1093091.53</v>
      </c>
      <c r="M113" s="36"/>
      <c r="N113" s="161">
        <f>SUM(N44:N112)</f>
        <v>10414768.469999999</v>
      </c>
      <c r="O113" s="36"/>
      <c r="P113" s="161">
        <f>SUM(P44:P112)</f>
        <v>11507860</v>
      </c>
      <c r="Q113" s="36"/>
      <c r="R113" s="161">
        <f>SUM(R44:R112)</f>
        <v>11728000</v>
      </c>
    </row>
    <row r="114" spans="1:18" s="7" customFormat="1" ht="6" customHeight="1" x14ac:dyDescent="0.2">
      <c r="A114" s="20"/>
      <c r="B114" s="20"/>
      <c r="C114" s="20"/>
      <c r="J114" s="162"/>
      <c r="K114" s="162"/>
      <c r="L114" s="36"/>
      <c r="M114" s="36"/>
      <c r="N114" s="36"/>
      <c r="O114" s="36"/>
      <c r="P114" s="36"/>
      <c r="Q114" s="36"/>
      <c r="R114" s="36"/>
    </row>
    <row r="115" spans="1:18" s="7" customFormat="1" ht="12" hidden="1" customHeight="1" x14ac:dyDescent="0.2">
      <c r="A115" s="69" t="s">
        <v>189</v>
      </c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7" customFormat="1" ht="12" hidden="1" customHeight="1" x14ac:dyDescent="0.2">
      <c r="A116" s="86" t="s">
        <v>109</v>
      </c>
      <c r="E116" s="112">
        <v>5</v>
      </c>
      <c r="F116" s="113" t="s">
        <v>29</v>
      </c>
      <c r="G116" s="112" t="s">
        <v>7</v>
      </c>
      <c r="H116" s="112" t="s">
        <v>17</v>
      </c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7" customFormat="1" ht="12" hidden="1" customHeight="1" x14ac:dyDescent="0.2">
      <c r="A117" s="86" t="s">
        <v>180</v>
      </c>
      <c r="E117" s="112">
        <v>5</v>
      </c>
      <c r="F117" s="113" t="s">
        <v>29</v>
      </c>
      <c r="G117" s="112" t="s">
        <v>7</v>
      </c>
      <c r="H117" s="112" t="s">
        <v>64</v>
      </c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7" customFormat="1" ht="12" hidden="1" customHeight="1" x14ac:dyDescent="0.2">
      <c r="A118" s="86" t="s">
        <v>181</v>
      </c>
      <c r="E118" s="112">
        <v>5</v>
      </c>
      <c r="F118" s="113" t="s">
        <v>29</v>
      </c>
      <c r="G118" s="112" t="s">
        <v>7</v>
      </c>
      <c r="H118" s="114" t="s">
        <v>49</v>
      </c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7" customFormat="1" ht="12" hidden="1" customHeight="1" x14ac:dyDescent="0.2">
      <c r="A119" s="86" t="s">
        <v>181</v>
      </c>
      <c r="E119" s="112">
        <v>5</v>
      </c>
      <c r="F119" s="113" t="s">
        <v>29</v>
      </c>
      <c r="G119" s="112" t="s">
        <v>7</v>
      </c>
      <c r="H119" s="114" t="s">
        <v>49</v>
      </c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7" customFormat="1" ht="12" hidden="1" customHeight="1" x14ac:dyDescent="0.2">
      <c r="A120" s="86" t="s">
        <v>182</v>
      </c>
      <c r="E120" s="112">
        <v>5</v>
      </c>
      <c r="F120" s="113" t="s">
        <v>29</v>
      </c>
      <c r="G120" s="112" t="s">
        <v>7</v>
      </c>
      <c r="H120" s="112" t="s">
        <v>10</v>
      </c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7" customFormat="1" ht="12" hidden="1" customHeight="1" x14ac:dyDescent="0.2">
      <c r="A121" s="86" t="s">
        <v>181</v>
      </c>
      <c r="E121" s="112">
        <v>5</v>
      </c>
      <c r="F121" s="113" t="s">
        <v>29</v>
      </c>
      <c r="G121" s="112" t="s">
        <v>7</v>
      </c>
      <c r="H121" s="114" t="s">
        <v>49</v>
      </c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7" customFormat="1" ht="12" hidden="1" customHeight="1" x14ac:dyDescent="0.2">
      <c r="A122" s="86" t="s">
        <v>183</v>
      </c>
      <c r="E122" s="112">
        <v>5</v>
      </c>
      <c r="F122" s="113" t="s">
        <v>29</v>
      </c>
      <c r="G122" s="112" t="s">
        <v>7</v>
      </c>
      <c r="H122" s="112" t="s">
        <v>8</v>
      </c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7" customFormat="1" ht="12" hidden="1" customHeight="1" x14ac:dyDescent="0.2">
      <c r="A123" s="86" t="s">
        <v>184</v>
      </c>
      <c r="E123" s="112">
        <v>5</v>
      </c>
      <c r="F123" s="113" t="s">
        <v>29</v>
      </c>
      <c r="G123" s="112" t="s">
        <v>7</v>
      </c>
      <c r="H123" s="112" t="s">
        <v>15</v>
      </c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7" customFormat="1" ht="18.95" hidden="1" customHeight="1" x14ac:dyDescent="0.2">
      <c r="A124" s="63" t="s">
        <v>185</v>
      </c>
      <c r="J124" s="171">
        <f>SUM(J116:J123)</f>
        <v>0</v>
      </c>
      <c r="K124" s="172"/>
      <c r="L124" s="171">
        <f>SUM(L116:L123)</f>
        <v>0</v>
      </c>
      <c r="M124" s="172"/>
      <c r="N124" s="171">
        <f>SUM(N116:N123)</f>
        <v>0</v>
      </c>
      <c r="O124" s="172"/>
      <c r="P124" s="171">
        <f>SUM(P116:P123)</f>
        <v>0</v>
      </c>
      <c r="Q124" s="172"/>
      <c r="R124" s="171">
        <f>SUM(R116:R123)</f>
        <v>0</v>
      </c>
    </row>
    <row r="125" spans="1:18" s="7" customFormat="1" ht="6" hidden="1" customHeight="1" x14ac:dyDescent="0.2"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7" customFormat="1" ht="12.75" customHeight="1" x14ac:dyDescent="0.2">
      <c r="A126" s="68" t="s">
        <v>190</v>
      </c>
      <c r="B126" s="11"/>
      <c r="C126" s="11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7" customFormat="1" ht="12.75" hidden="1" customHeight="1" x14ac:dyDescent="0.2">
      <c r="A127" s="70" t="s">
        <v>90</v>
      </c>
      <c r="B127" s="9"/>
      <c r="C127" s="9"/>
      <c r="E127" s="112">
        <v>1</v>
      </c>
      <c r="F127" s="113" t="s">
        <v>12</v>
      </c>
      <c r="G127" s="112" t="s">
        <v>54</v>
      </c>
      <c r="H127" s="114" t="s">
        <v>10</v>
      </c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7" customFormat="1" ht="12.75" hidden="1" customHeight="1" x14ac:dyDescent="0.2">
      <c r="A128" s="86" t="s">
        <v>92</v>
      </c>
      <c r="B128" s="111"/>
      <c r="C128" s="111"/>
      <c r="E128" s="112">
        <v>1</v>
      </c>
      <c r="F128" s="113" t="s">
        <v>93</v>
      </c>
      <c r="G128" s="112" t="s">
        <v>7</v>
      </c>
      <c r="H128" s="112" t="s">
        <v>8</v>
      </c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7" customFormat="1" ht="12.75" hidden="1" customHeight="1" x14ac:dyDescent="0.2">
      <c r="A129" s="70" t="s">
        <v>90</v>
      </c>
      <c r="B129" s="111"/>
      <c r="C129" s="111"/>
      <c r="D129" s="113"/>
      <c r="E129" s="112">
        <v>1</v>
      </c>
      <c r="F129" s="113" t="s">
        <v>12</v>
      </c>
      <c r="G129" s="112" t="s">
        <v>54</v>
      </c>
      <c r="H129" s="112" t="s">
        <v>10</v>
      </c>
      <c r="J129" s="36"/>
      <c r="K129" s="36"/>
      <c r="L129" s="36"/>
      <c r="M129" s="36"/>
      <c r="N129" s="36">
        <f t="shared" ref="N129:N131" si="5">P129-L129</f>
        <v>0</v>
      </c>
      <c r="O129" s="36"/>
      <c r="P129" s="36"/>
      <c r="Q129" s="36"/>
      <c r="R129" s="36"/>
    </row>
    <row r="130" spans="1:18" s="7" customFormat="1" ht="12.75" hidden="1" customHeight="1" x14ac:dyDescent="0.2">
      <c r="A130" s="86" t="s">
        <v>94</v>
      </c>
      <c r="B130" s="111"/>
      <c r="C130" s="111"/>
      <c r="E130" s="112">
        <v>1</v>
      </c>
      <c r="F130" s="113" t="s">
        <v>93</v>
      </c>
      <c r="G130" s="112" t="s">
        <v>34</v>
      </c>
      <c r="H130" s="112" t="s">
        <v>8</v>
      </c>
      <c r="J130" s="36"/>
      <c r="K130" s="36"/>
      <c r="L130" s="36"/>
      <c r="M130" s="36"/>
      <c r="N130" s="36">
        <f t="shared" si="5"/>
        <v>0</v>
      </c>
      <c r="O130" s="36"/>
      <c r="P130" s="36"/>
      <c r="Q130" s="36"/>
      <c r="R130" s="36"/>
    </row>
    <row r="131" spans="1:18" s="7" customFormat="1" ht="12.75" hidden="1" customHeight="1" x14ac:dyDescent="0.2">
      <c r="A131" s="86" t="s">
        <v>95</v>
      </c>
      <c r="B131" s="116"/>
      <c r="C131" s="116"/>
      <c r="E131" s="112">
        <v>1</v>
      </c>
      <c r="F131" s="113" t="s">
        <v>93</v>
      </c>
      <c r="G131" s="112" t="s">
        <v>34</v>
      </c>
      <c r="H131" s="112" t="s">
        <v>49</v>
      </c>
      <c r="J131" s="36"/>
      <c r="K131" s="36"/>
      <c r="L131" s="36"/>
      <c r="M131" s="36"/>
      <c r="N131" s="36">
        <f t="shared" si="5"/>
        <v>0</v>
      </c>
      <c r="O131" s="36"/>
      <c r="P131" s="36"/>
      <c r="Q131" s="36"/>
      <c r="R131" s="36"/>
    </row>
    <row r="132" spans="1:18" s="7" customFormat="1" ht="12.75" customHeight="1" x14ac:dyDescent="0.2">
      <c r="A132" s="86" t="s">
        <v>96</v>
      </c>
      <c r="B132" s="116"/>
      <c r="C132" s="116"/>
      <c r="D132" s="113"/>
      <c r="E132" s="112">
        <v>1</v>
      </c>
      <c r="F132" s="113" t="s">
        <v>93</v>
      </c>
      <c r="G132" s="112" t="s">
        <v>54</v>
      </c>
      <c r="H132" s="112" t="s">
        <v>10</v>
      </c>
      <c r="J132" s="36"/>
      <c r="K132" s="36"/>
      <c r="L132" s="36"/>
      <c r="M132" s="36"/>
      <c r="N132" s="36"/>
      <c r="O132" s="36"/>
      <c r="P132" s="36"/>
      <c r="Q132" s="36"/>
      <c r="R132" s="36">
        <v>70000</v>
      </c>
    </row>
    <row r="133" spans="1:18" s="7" customFormat="1" ht="12.75" hidden="1" customHeight="1" x14ac:dyDescent="0.2">
      <c r="A133" s="86" t="s">
        <v>98</v>
      </c>
      <c r="B133" s="116"/>
      <c r="C133" s="116"/>
      <c r="E133" s="112">
        <v>1</v>
      </c>
      <c r="F133" s="113" t="s">
        <v>93</v>
      </c>
      <c r="G133" s="112" t="s">
        <v>54</v>
      </c>
      <c r="H133" s="112" t="s">
        <v>15</v>
      </c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7" customFormat="1" ht="12.75" hidden="1" customHeight="1" x14ac:dyDescent="0.2">
      <c r="A134" s="86" t="s">
        <v>101</v>
      </c>
      <c r="B134" s="116"/>
      <c r="C134" s="116"/>
      <c r="E134" s="112">
        <v>1</v>
      </c>
      <c r="F134" s="128" t="s">
        <v>93</v>
      </c>
      <c r="G134" s="114" t="s">
        <v>54</v>
      </c>
      <c r="H134" s="179" t="s">
        <v>102</v>
      </c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7" customFormat="1" ht="12.75" hidden="1" customHeight="1" x14ac:dyDescent="0.2">
      <c r="A135" s="86" t="s">
        <v>99</v>
      </c>
      <c r="B135" s="116"/>
      <c r="C135" s="116"/>
      <c r="D135" s="113"/>
      <c r="E135" s="112">
        <v>1</v>
      </c>
      <c r="F135" s="113" t="s">
        <v>93</v>
      </c>
      <c r="G135" s="112" t="s">
        <v>93</v>
      </c>
      <c r="H135" s="112" t="s">
        <v>10</v>
      </c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7" customFormat="1" ht="12.75" customHeight="1" x14ac:dyDescent="0.2">
      <c r="A136" s="86" t="s">
        <v>100</v>
      </c>
      <c r="B136" s="111"/>
      <c r="C136" s="111"/>
      <c r="E136" s="112">
        <v>1</v>
      </c>
      <c r="F136" s="113" t="s">
        <v>93</v>
      </c>
      <c r="G136" s="112" t="s">
        <v>54</v>
      </c>
      <c r="H136" s="112" t="s">
        <v>19</v>
      </c>
      <c r="J136" s="36"/>
      <c r="K136" s="36"/>
      <c r="L136" s="36"/>
      <c r="M136" s="36"/>
      <c r="N136" s="36"/>
      <c r="O136" s="36"/>
      <c r="P136" s="36"/>
      <c r="Q136" s="36"/>
      <c r="R136" s="36">
        <v>250000</v>
      </c>
    </row>
    <row r="137" spans="1:18" s="7" customFormat="1" ht="14.25" hidden="1" customHeight="1" x14ac:dyDescent="0.2">
      <c r="A137" s="86" t="s">
        <v>175</v>
      </c>
      <c r="B137" s="111"/>
      <c r="C137" s="111"/>
      <c r="E137" s="112">
        <v>1</v>
      </c>
      <c r="F137" s="113" t="s">
        <v>93</v>
      </c>
      <c r="G137" s="112" t="s">
        <v>54</v>
      </c>
      <c r="H137" s="112" t="s">
        <v>82</v>
      </c>
      <c r="J137" s="36"/>
      <c r="K137" s="36"/>
      <c r="L137" s="36"/>
      <c r="M137" s="36"/>
      <c r="N137" s="36">
        <f t="shared" ref="N137:N146" si="6">P137-L137</f>
        <v>0</v>
      </c>
      <c r="O137" s="36"/>
      <c r="P137" s="36"/>
      <c r="Q137" s="36"/>
      <c r="R137" s="36"/>
    </row>
    <row r="138" spans="1:18" s="7" customFormat="1" ht="12.75" hidden="1" customHeight="1" x14ac:dyDescent="0.2">
      <c r="A138" s="86" t="s">
        <v>176</v>
      </c>
      <c r="B138" s="111"/>
      <c r="C138" s="111"/>
      <c r="E138" s="112">
        <v>1</v>
      </c>
      <c r="F138" s="113" t="s">
        <v>93</v>
      </c>
      <c r="G138" s="112" t="s">
        <v>54</v>
      </c>
      <c r="H138" s="112" t="s">
        <v>45</v>
      </c>
      <c r="J138" s="36"/>
      <c r="K138" s="36"/>
      <c r="L138" s="36"/>
      <c r="M138" s="36"/>
      <c r="N138" s="36">
        <f t="shared" si="6"/>
        <v>0</v>
      </c>
      <c r="O138" s="36"/>
      <c r="P138" s="36"/>
      <c r="Q138" s="36"/>
      <c r="R138" s="36"/>
    </row>
    <row r="139" spans="1:18" s="7" customFormat="1" ht="12.75" hidden="1" customHeight="1" x14ac:dyDescent="0.2">
      <c r="A139" s="86" t="s">
        <v>177</v>
      </c>
      <c r="B139" s="111"/>
      <c r="C139" s="111"/>
      <c r="E139" s="112">
        <v>1</v>
      </c>
      <c r="F139" s="113" t="s">
        <v>93</v>
      </c>
      <c r="G139" s="112" t="s">
        <v>54</v>
      </c>
      <c r="H139" s="112" t="s">
        <v>146</v>
      </c>
      <c r="J139" s="36"/>
      <c r="K139" s="36"/>
      <c r="L139" s="36"/>
      <c r="M139" s="36"/>
      <c r="N139" s="36">
        <f t="shared" si="6"/>
        <v>0</v>
      </c>
      <c r="O139" s="36"/>
      <c r="P139" s="36"/>
      <c r="Q139" s="36"/>
      <c r="R139" s="36"/>
    </row>
    <row r="140" spans="1:18" s="7" customFormat="1" ht="12.75" hidden="1" customHeight="1" x14ac:dyDescent="0.2">
      <c r="A140" s="86" t="s">
        <v>101</v>
      </c>
      <c r="B140" s="111"/>
      <c r="C140" s="111"/>
      <c r="E140" s="112">
        <v>1</v>
      </c>
      <c r="F140" s="113" t="s">
        <v>93</v>
      </c>
      <c r="G140" s="112" t="s">
        <v>54</v>
      </c>
      <c r="H140" s="112" t="s">
        <v>102</v>
      </c>
      <c r="J140" s="36"/>
      <c r="K140" s="36"/>
      <c r="L140" s="36"/>
      <c r="M140" s="36"/>
      <c r="N140" s="36">
        <f t="shared" si="6"/>
        <v>0</v>
      </c>
      <c r="O140" s="36"/>
      <c r="P140" s="36"/>
      <c r="Q140" s="36"/>
      <c r="R140" s="36"/>
    </row>
    <row r="141" spans="1:18" s="7" customFormat="1" ht="12.75" hidden="1" customHeight="1" x14ac:dyDescent="0.2">
      <c r="A141" s="86" t="s">
        <v>103</v>
      </c>
      <c r="B141" s="111"/>
      <c r="C141" s="111"/>
      <c r="E141" s="112">
        <v>1</v>
      </c>
      <c r="F141" s="113" t="s">
        <v>93</v>
      </c>
      <c r="G141" s="112" t="s">
        <v>54</v>
      </c>
      <c r="H141" s="112" t="s">
        <v>24</v>
      </c>
      <c r="J141" s="36"/>
      <c r="K141" s="36"/>
      <c r="L141" s="36"/>
      <c r="M141" s="36"/>
      <c r="N141" s="36">
        <f t="shared" si="6"/>
        <v>0</v>
      </c>
      <c r="O141" s="36"/>
      <c r="P141" s="36"/>
      <c r="Q141" s="36"/>
      <c r="R141" s="36"/>
    </row>
    <row r="142" spans="1:18" s="7" customFormat="1" ht="12.75" hidden="1" customHeight="1" x14ac:dyDescent="0.2">
      <c r="A142" s="86" t="s">
        <v>104</v>
      </c>
      <c r="B142" s="111"/>
      <c r="C142" s="111"/>
      <c r="E142" s="112">
        <v>1</v>
      </c>
      <c r="F142" s="113" t="s">
        <v>93</v>
      </c>
      <c r="G142" s="112" t="s">
        <v>54</v>
      </c>
      <c r="H142" s="112" t="s">
        <v>28</v>
      </c>
      <c r="J142" s="36"/>
      <c r="K142" s="36"/>
      <c r="L142" s="36"/>
      <c r="M142" s="36"/>
      <c r="N142" s="36">
        <f t="shared" si="6"/>
        <v>0</v>
      </c>
      <c r="O142" s="36"/>
      <c r="P142" s="36"/>
      <c r="Q142" s="36"/>
      <c r="R142" s="36"/>
    </row>
    <row r="143" spans="1:18" s="7" customFormat="1" ht="12.75" hidden="1" customHeight="1" x14ac:dyDescent="0.2">
      <c r="A143" s="86" t="s">
        <v>105</v>
      </c>
      <c r="B143" s="111"/>
      <c r="C143" s="111"/>
      <c r="D143" s="113"/>
      <c r="E143" s="112">
        <v>1</v>
      </c>
      <c r="F143" s="113" t="s">
        <v>93</v>
      </c>
      <c r="G143" s="112" t="s">
        <v>54</v>
      </c>
      <c r="H143" s="114" t="s">
        <v>49</v>
      </c>
      <c r="J143" s="36"/>
      <c r="K143" s="36"/>
      <c r="L143" s="36"/>
      <c r="M143" s="36"/>
      <c r="N143" s="36">
        <f t="shared" si="6"/>
        <v>0</v>
      </c>
      <c r="O143" s="36"/>
      <c r="P143" s="36"/>
      <c r="Q143" s="36"/>
      <c r="R143" s="36"/>
    </row>
    <row r="144" spans="1:18" s="7" customFormat="1" ht="12.75" hidden="1" customHeight="1" x14ac:dyDescent="0.2">
      <c r="A144" s="86" t="s">
        <v>106</v>
      </c>
      <c r="B144" s="111"/>
      <c r="C144" s="111"/>
      <c r="D144" s="113"/>
      <c r="E144" s="112">
        <v>1</v>
      </c>
      <c r="F144" s="113" t="s">
        <v>93</v>
      </c>
      <c r="G144" s="112" t="s">
        <v>67</v>
      </c>
      <c r="H144" s="112" t="s">
        <v>8</v>
      </c>
      <c r="J144" s="36"/>
      <c r="K144" s="36"/>
      <c r="L144" s="36"/>
      <c r="M144" s="36"/>
      <c r="N144" s="36">
        <f t="shared" si="6"/>
        <v>0</v>
      </c>
      <c r="O144" s="36"/>
      <c r="P144" s="36"/>
      <c r="Q144" s="36"/>
      <c r="R144" s="36"/>
    </row>
    <row r="145" spans="1:18" s="7" customFormat="1" ht="12.75" hidden="1" customHeight="1" x14ac:dyDescent="0.2">
      <c r="A145" s="86" t="s">
        <v>97</v>
      </c>
      <c r="B145" s="111"/>
      <c r="C145" s="111"/>
      <c r="E145" s="112">
        <v>1</v>
      </c>
      <c r="F145" s="113" t="s">
        <v>93</v>
      </c>
      <c r="G145" s="112" t="s">
        <v>93</v>
      </c>
      <c r="H145" s="112" t="s">
        <v>8</v>
      </c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7" customFormat="1" ht="12.75" customHeight="1" x14ac:dyDescent="0.2">
      <c r="A146" s="86" t="s">
        <v>107</v>
      </c>
      <c r="B146" s="111"/>
      <c r="C146" s="111"/>
      <c r="D146" s="113"/>
      <c r="E146" s="112">
        <v>1</v>
      </c>
      <c r="F146" s="113" t="s">
        <v>93</v>
      </c>
      <c r="G146" s="112" t="s">
        <v>59</v>
      </c>
      <c r="H146" s="114" t="s">
        <v>49</v>
      </c>
      <c r="J146" s="36"/>
      <c r="K146" s="36"/>
      <c r="L146" s="36"/>
      <c r="M146" s="36"/>
      <c r="N146" s="36">
        <f t="shared" si="6"/>
        <v>5010000</v>
      </c>
      <c r="O146" s="36"/>
      <c r="P146" s="36">
        <v>5010000</v>
      </c>
      <c r="Q146" s="36"/>
      <c r="R146" s="36">
        <v>200000</v>
      </c>
    </row>
    <row r="147" spans="1:18" s="7" customFormat="1" ht="12.75" hidden="1" customHeight="1" x14ac:dyDescent="0.2">
      <c r="A147" s="86" t="s">
        <v>178</v>
      </c>
      <c r="B147" s="111"/>
      <c r="C147" s="111"/>
      <c r="D147" s="113"/>
      <c r="E147" s="112">
        <v>1</v>
      </c>
      <c r="F147" s="113" t="s">
        <v>93</v>
      </c>
      <c r="G147" s="112" t="s">
        <v>29</v>
      </c>
      <c r="H147" s="112" t="s">
        <v>8</v>
      </c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7" customFormat="1" ht="12.75" hidden="1" customHeight="1" x14ac:dyDescent="0.2">
      <c r="A148" s="86" t="s">
        <v>179</v>
      </c>
      <c r="B148" s="111"/>
      <c r="C148" s="111"/>
      <c r="D148" s="113"/>
      <c r="E148" s="112">
        <v>1</v>
      </c>
      <c r="F148" s="113" t="s">
        <v>93</v>
      </c>
      <c r="G148" s="112" t="s">
        <v>29</v>
      </c>
      <c r="H148" s="112" t="s">
        <v>45</v>
      </c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0</v>
      </c>
      <c r="K149" s="23"/>
      <c r="L149" s="21">
        <f>SUM(L128:L143)</f>
        <v>0</v>
      </c>
      <c r="M149" s="172"/>
      <c r="N149" s="21">
        <f>SUM(N128:N148)</f>
        <v>5010000</v>
      </c>
      <c r="O149" s="172"/>
      <c r="P149" s="21">
        <f>SUM(P128:P146)</f>
        <v>5010000</v>
      </c>
      <c r="Q149" s="172"/>
      <c r="R149" s="21">
        <f>SUM(R128:R148)</f>
        <v>520000</v>
      </c>
    </row>
    <row r="150" spans="1:18" s="7" customFormat="1" ht="6" customHeight="1" x14ac:dyDescent="0.2"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49245242.009999998</v>
      </c>
      <c r="K151" s="23"/>
      <c r="L151" s="29">
        <f>L41+L113+L124+L149</f>
        <v>19350292.000000004</v>
      </c>
      <c r="M151" s="36"/>
      <c r="N151" s="29">
        <f>N41+N113+N124+N149</f>
        <v>45808624.879999995</v>
      </c>
      <c r="O151" s="36"/>
      <c r="P151" s="29">
        <f>P41+P113+P124+P149</f>
        <v>65158916.879999995</v>
      </c>
      <c r="Q151" s="36"/>
      <c r="R151" s="29">
        <f>SUM(R41+R113+R149)</f>
        <v>58511285.280000001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321" t="s">
        <v>133</v>
      </c>
      <c r="B153" s="321"/>
      <c r="C153" s="321"/>
      <c r="D153" s="33"/>
      <c r="E153" s="32"/>
      <c r="G153" s="31"/>
      <c r="I153" s="31"/>
      <c r="J153" s="321" t="s">
        <v>276</v>
      </c>
      <c r="K153" s="321"/>
      <c r="L153" s="321"/>
      <c r="M153" s="47"/>
      <c r="N153" s="49"/>
      <c r="O153" s="49"/>
      <c r="P153" s="311" t="s">
        <v>135</v>
      </c>
      <c r="Q153" s="311"/>
      <c r="R153" s="311"/>
    </row>
    <row r="154" spans="1:18" x14ac:dyDescent="0.2">
      <c r="A154" s="50"/>
      <c r="D154" s="33"/>
      <c r="E154" s="51"/>
      <c r="G154" s="31"/>
      <c r="I154" s="31"/>
      <c r="J154" s="168"/>
      <c r="M154" s="30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68"/>
      <c r="M155" s="95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322" t="s">
        <v>277</v>
      </c>
      <c r="B157" s="322"/>
      <c r="C157" s="322"/>
      <c r="D157" s="55"/>
      <c r="E157" s="56"/>
      <c r="G157" s="31"/>
      <c r="I157" s="31"/>
      <c r="J157" s="322" t="s">
        <v>291</v>
      </c>
      <c r="K157" s="322"/>
      <c r="L157" s="322"/>
      <c r="M157" s="57"/>
      <c r="N157" s="59"/>
      <c r="O157" s="59"/>
      <c r="P157" s="312" t="s">
        <v>137</v>
      </c>
      <c r="Q157" s="312"/>
      <c r="R157" s="312"/>
    </row>
    <row r="158" spans="1:18" x14ac:dyDescent="0.2">
      <c r="A158" s="321" t="s">
        <v>346</v>
      </c>
      <c r="B158" s="321"/>
      <c r="C158" s="321"/>
      <c r="D158" s="31"/>
      <c r="E158" s="32"/>
      <c r="G158" s="31"/>
      <c r="I158" s="31"/>
      <c r="J158" s="321" t="s">
        <v>269</v>
      </c>
      <c r="K158" s="321"/>
      <c r="L158" s="321"/>
      <c r="M158" s="33"/>
      <c r="N158" s="35"/>
      <c r="O158" s="35"/>
      <c r="P158" s="313" t="s">
        <v>139</v>
      </c>
      <c r="Q158" s="313"/>
      <c r="R158" s="313"/>
    </row>
  </sheetData>
  <customSheetViews>
    <customSheetView guid="{1998FCB8-1FEB-4076-ACE6-A225EE4366B3}" showPageBreaks="1" printArea="1" hiddenRows="1" view="pageBreakPreview">
      <pane xSplit="1" ySplit="13" topLeftCell="B114" activePane="bottomRight" state="frozen"/>
      <selection pane="bottomRight" activeCell="S35" sqref="S35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1" activePane="bottomRight" state="frozen"/>
      <selection pane="bottomRight" activeCell="C91" sqref="C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14" activePane="bottomRight" state="frozen"/>
      <selection pane="bottomRight" activeCell="R150" sqref="R15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66" activePane="bottomRight" state="frozen"/>
      <selection pane="bottomRight" activeCell="R69" sqref="R69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L17" sqref="L17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  <mergeCell ref="A12:C12"/>
    <mergeCell ref="E12:H12"/>
    <mergeCell ref="A113:C113"/>
    <mergeCell ref="A1:S1"/>
    <mergeCell ref="A2:S2"/>
    <mergeCell ref="L8:P8"/>
    <mergeCell ref="A10:C10"/>
    <mergeCell ref="E10:H10"/>
    <mergeCell ref="P9:P11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B35" activePane="bottomRight" state="frozen"/>
      <selection pane="topRight" activeCell="B1" sqref="B1"/>
      <selection pane="bottomLeft" activeCell="A14" sqref="A14"/>
      <selection pane="bottomRight" activeCell="N20" sqref="N2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315" t="s">
        <v>111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21" ht="15.75" customHeight="1" x14ac:dyDescent="0.2">
      <c r="A2" s="316" t="s">
        <v>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77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199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317" t="s">
        <v>122</v>
      </c>
      <c r="M8" s="317"/>
      <c r="N8" s="317"/>
      <c r="O8" s="317"/>
      <c r="P8" s="317"/>
      <c r="Q8" s="153"/>
    </row>
    <row r="9" spans="1:21" ht="15" customHeight="1" x14ac:dyDescent="0.2">
      <c r="H9" s="8"/>
      <c r="I9" s="8"/>
      <c r="J9" s="8" t="s">
        <v>268</v>
      </c>
      <c r="K9" s="8"/>
      <c r="L9" s="62" t="s">
        <v>123</v>
      </c>
      <c r="M9" s="62"/>
      <c r="N9" s="62" t="s">
        <v>125</v>
      </c>
      <c r="O9" s="62"/>
      <c r="P9" s="318" t="s">
        <v>127</v>
      </c>
      <c r="Q9" s="45"/>
      <c r="R9" s="167" t="s">
        <v>132</v>
      </c>
    </row>
    <row r="10" spans="1:21" ht="15" customHeight="1" x14ac:dyDescent="0.2">
      <c r="A10" s="320" t="s">
        <v>186</v>
      </c>
      <c r="B10" s="320"/>
      <c r="C10" s="320"/>
      <c r="D10" s="9"/>
      <c r="E10" s="320" t="s">
        <v>112</v>
      </c>
      <c r="F10" s="320"/>
      <c r="G10" s="320"/>
      <c r="H10" s="320"/>
      <c r="I10" s="8"/>
      <c r="J10" s="87" t="s">
        <v>290</v>
      </c>
      <c r="K10" s="44"/>
      <c r="L10" s="44">
        <v>2020</v>
      </c>
      <c r="M10" s="44"/>
      <c r="N10" s="44">
        <v>2020</v>
      </c>
      <c r="O10" s="44"/>
      <c r="P10" s="319"/>
      <c r="Q10" s="45"/>
      <c r="R10" s="44">
        <v>2021</v>
      </c>
    </row>
    <row r="11" spans="1:21" ht="15" customHeight="1" x14ac:dyDescent="0.2">
      <c r="A11" s="152"/>
      <c r="B11" s="152"/>
      <c r="C11" s="152"/>
      <c r="D11" s="9"/>
      <c r="E11" s="152"/>
      <c r="F11" s="152"/>
      <c r="G11" s="152"/>
      <c r="H11" s="152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319"/>
      <c r="Q11" s="45"/>
      <c r="R11" s="168" t="s">
        <v>2</v>
      </c>
    </row>
    <row r="12" spans="1:21" ht="15" customHeight="1" x14ac:dyDescent="0.2">
      <c r="A12" s="309" t="s">
        <v>3</v>
      </c>
      <c r="B12" s="309"/>
      <c r="C12" s="309"/>
      <c r="D12" s="7"/>
      <c r="E12" s="310" t="s">
        <v>4</v>
      </c>
      <c r="F12" s="310"/>
      <c r="G12" s="310"/>
      <c r="H12" s="310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19649976.379999999</v>
      </c>
      <c r="K15" s="13"/>
      <c r="L15" s="7">
        <v>9752537.9199999999</v>
      </c>
      <c r="N15" s="7">
        <f t="shared" ref="N15:N20" si="0">P15-L15</f>
        <v>19780186.600000001</v>
      </c>
      <c r="P15" s="7">
        <v>29532724.52</v>
      </c>
      <c r="R15" s="7">
        <f>4730924.71+11605832.17+10544323.5</f>
        <v>26881080.379999999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2434486.2200000002</v>
      </c>
      <c r="K17" s="13"/>
      <c r="L17" s="7">
        <v>1161629.33</v>
      </c>
      <c r="N17" s="7">
        <f t="shared" si="0"/>
        <v>2078370.67</v>
      </c>
      <c r="P17" s="7">
        <v>3240000</v>
      </c>
      <c r="R17" s="7">
        <f>312000+1320000+1248000</f>
        <v>2880000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97500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97500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611000</v>
      </c>
      <c r="K20" s="13"/>
      <c r="L20" s="7">
        <v>576000</v>
      </c>
      <c r="N20" s="7">
        <f t="shared" si="0"/>
        <v>234000</v>
      </c>
      <c r="P20" s="7">
        <v>810000</v>
      </c>
      <c r="R20" s="7">
        <f>78000+330000+312000</f>
        <v>720000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1564180.2</v>
      </c>
      <c r="N29" s="7">
        <f>P29-L29</f>
        <v>2443416</v>
      </c>
      <c r="P29" s="7">
        <v>2443416</v>
      </c>
      <c r="R29" s="7">
        <f>394349+967580+879097</f>
        <v>2241026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510500</v>
      </c>
      <c r="N30" s="7">
        <f t="shared" si="1"/>
        <v>675000</v>
      </c>
      <c r="P30" s="7">
        <v>675000</v>
      </c>
      <c r="R30" s="7">
        <f>65000+275000+260000</f>
        <v>600000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1697601</v>
      </c>
      <c r="K31" s="13"/>
      <c r="L31" s="7">
        <v>1641678</v>
      </c>
      <c r="N31" s="7">
        <f>P31-L31</f>
        <v>801738</v>
      </c>
      <c r="P31" s="7">
        <v>2443416</v>
      </c>
      <c r="R31" s="7">
        <f>394349+967580+879097</f>
        <v>2241026</v>
      </c>
    </row>
    <row r="32" spans="1:21" s="7" customFormat="1" ht="12.75" customHeight="1" x14ac:dyDescent="0.2">
      <c r="A32" s="66" t="s">
        <v>263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2352089.33</v>
      </c>
      <c r="L32" s="7">
        <v>1166234.92</v>
      </c>
      <c r="N32" s="7">
        <f t="shared" si="1"/>
        <v>2384432.77</v>
      </c>
      <c r="P32" s="7">
        <v>3550667.69</v>
      </c>
      <c r="R32" s="7">
        <f>567862.56+1393315.2+1265899.68</f>
        <v>3227077.44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122100</v>
      </c>
      <c r="L33" s="7">
        <v>58100</v>
      </c>
      <c r="N33" s="7">
        <f t="shared" si="1"/>
        <v>103900</v>
      </c>
      <c r="P33" s="7">
        <v>162000</v>
      </c>
      <c r="R33" s="7">
        <f>15600+66000+62400</f>
        <v>144000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257996.9</v>
      </c>
      <c r="L34" s="7">
        <v>126884.2</v>
      </c>
      <c r="N34" s="7">
        <f t="shared" si="1"/>
        <v>267164.86</v>
      </c>
      <c r="P34" s="7">
        <v>394049.06</v>
      </c>
      <c r="R34" s="7">
        <f>70957.74+203191.8+184610.37</f>
        <v>458759.91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122004.13</v>
      </c>
      <c r="L35" s="7">
        <v>58051</v>
      </c>
      <c r="N35" s="7">
        <f t="shared" si="1"/>
        <v>103949</v>
      </c>
      <c r="P35" s="7">
        <v>162000</v>
      </c>
      <c r="R35" s="7">
        <f>15600+66000+62400</f>
        <v>144000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935668.87</v>
      </c>
      <c r="L38" s="7">
        <v>638794.91</v>
      </c>
      <c r="N38" s="7">
        <f t="shared" si="1"/>
        <v>436885.66000000003</v>
      </c>
      <c r="P38" s="7">
        <v>1075680.57</v>
      </c>
      <c r="R38" s="7">
        <v>62871.199999999997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1203625.06</v>
      </c>
      <c r="N39" s="7">
        <f t="shared" si="1"/>
        <v>675000</v>
      </c>
      <c r="P39" s="7">
        <v>675000</v>
      </c>
      <c r="R39" s="7">
        <f>65000+275000+260000</f>
        <v>600000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31656228.089999992</v>
      </c>
      <c r="K41" s="18"/>
      <c r="L41" s="22">
        <f>SUM(L15:L40)</f>
        <v>15269910.279999999</v>
      </c>
      <c r="N41" s="22">
        <f>SUM(N15:N40)</f>
        <v>30278043.560000002</v>
      </c>
      <c r="P41" s="22">
        <f>SUM(P15:P40)</f>
        <v>45547953.839999996</v>
      </c>
      <c r="R41" s="22">
        <f>SUM(R15:R40)</f>
        <v>40583840.929999992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31558</v>
      </c>
      <c r="L44" s="7">
        <v>7748</v>
      </c>
      <c r="N44" s="7">
        <f t="shared" ref="N44:N107" si="2">P44-L44</f>
        <v>209452</v>
      </c>
      <c r="P44" s="7">
        <v>217200</v>
      </c>
      <c r="R44" s="7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N46" s="7">
        <f t="shared" si="2"/>
        <v>90000</v>
      </c>
      <c r="P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1563239.5</v>
      </c>
      <c r="L51" s="7">
        <v>628585</v>
      </c>
      <c r="N51" s="7">
        <f t="shared" si="2"/>
        <v>2656415</v>
      </c>
      <c r="P51" s="7">
        <v>3285000</v>
      </c>
      <c r="R51" s="7">
        <v>5000000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795373.83</v>
      </c>
      <c r="K55" s="19"/>
      <c r="L55" s="7">
        <v>442181.69</v>
      </c>
      <c r="N55" s="7">
        <f t="shared" si="2"/>
        <v>640818.31000000006</v>
      </c>
      <c r="P55" s="7">
        <v>1083000</v>
      </c>
      <c r="R55" s="7">
        <f>594000+540000</f>
        <v>1134000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300000</v>
      </c>
      <c r="P58" s="7">
        <v>300000</v>
      </c>
      <c r="R58" s="7">
        <v>1300000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2"/>
        <v>25000</v>
      </c>
      <c r="P61" s="7">
        <v>25000</v>
      </c>
      <c r="R61" s="7">
        <f>10000+200000+1000000</f>
        <v>1210000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2221228.15</v>
      </c>
      <c r="L62" s="7">
        <v>1225789.1599999999</v>
      </c>
      <c r="N62" s="7">
        <f t="shared" si="2"/>
        <v>2074210.84</v>
      </c>
      <c r="P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11764827.789999999</v>
      </c>
      <c r="L63" s="7">
        <v>4545274.34</v>
      </c>
      <c r="N63" s="7">
        <f t="shared" si="2"/>
        <v>13454725.66</v>
      </c>
      <c r="P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32458.98</v>
      </c>
      <c r="L66" s="7">
        <v>15895</v>
      </c>
      <c r="N66" s="7">
        <f t="shared" si="2"/>
        <v>164105</v>
      </c>
      <c r="P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120000</v>
      </c>
      <c r="P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N69" s="7">
        <f t="shared" si="2"/>
        <v>100000</v>
      </c>
      <c r="P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2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2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2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2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2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2"/>
        <v>0</v>
      </c>
    </row>
    <row r="81" spans="1:16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2"/>
        <v>0</v>
      </c>
    </row>
    <row r="82" spans="1:16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2"/>
        <v>0</v>
      </c>
    </row>
    <row r="83" spans="1:16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2"/>
        <v>0</v>
      </c>
    </row>
    <row r="84" spans="1:16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2"/>
        <v>0</v>
      </c>
    </row>
    <row r="85" spans="1:16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2"/>
        <v>0</v>
      </c>
    </row>
    <row r="86" spans="1:16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2"/>
        <v>0</v>
      </c>
    </row>
    <row r="87" spans="1:16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2"/>
        <v>0</v>
      </c>
    </row>
    <row r="88" spans="1:16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16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2"/>
        <v>0</v>
      </c>
    </row>
    <row r="90" spans="1:16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2"/>
        <v>0</v>
      </c>
    </row>
    <row r="91" spans="1:16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2"/>
        <v>135000</v>
      </c>
      <c r="P91" s="7">
        <v>135000</v>
      </c>
    </row>
    <row r="92" spans="1:16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2"/>
        <v>50000</v>
      </c>
      <c r="P92" s="7">
        <v>50000</v>
      </c>
    </row>
    <row r="93" spans="1:16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2"/>
        <v>0</v>
      </c>
    </row>
    <row r="94" spans="1:16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2"/>
        <v>200000</v>
      </c>
      <c r="P94" s="7">
        <v>200000</v>
      </c>
    </row>
    <row r="95" spans="1:16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2"/>
        <v>0</v>
      </c>
    </row>
    <row r="96" spans="1:16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2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2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2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2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2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2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2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2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2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2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2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2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803422.56</v>
      </c>
      <c r="L108" s="7">
        <v>6148</v>
      </c>
      <c r="N108" s="7">
        <f t="shared" ref="N108:N109" si="3">P108-L108</f>
        <v>1493852</v>
      </c>
      <c r="P108" s="7">
        <v>1500000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3"/>
        <v>250000</v>
      </c>
      <c r="P109" s="7">
        <v>250000</v>
      </c>
      <c r="R109" s="7">
        <f>50000+20000</f>
        <v>70000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260</v>
      </c>
      <c r="B112" s="40"/>
      <c r="C112" s="40"/>
      <c r="E112" s="14">
        <v>5</v>
      </c>
      <c r="F112" s="15" t="s">
        <v>12</v>
      </c>
      <c r="G112" s="80">
        <v>99</v>
      </c>
      <c r="H112" s="82">
        <v>990</v>
      </c>
      <c r="L112" s="7">
        <v>8640</v>
      </c>
      <c r="N112" s="7">
        <f t="shared" ref="N112" si="4">P112-L112</f>
        <v>389360</v>
      </c>
      <c r="P112" s="7">
        <v>398000</v>
      </c>
      <c r="R112" s="7">
        <f>100000+200000</f>
        <v>300000</v>
      </c>
    </row>
    <row r="113" spans="1:18" s="7" customFormat="1" ht="18.95" customHeight="1" x14ac:dyDescent="0.2">
      <c r="A113" s="323" t="s">
        <v>191</v>
      </c>
      <c r="B113" s="323"/>
      <c r="C113" s="323"/>
      <c r="J113" s="22">
        <f>SUM(J44:J112)</f>
        <v>17212108.809999999</v>
      </c>
      <c r="K113" s="18"/>
      <c r="L113" s="22">
        <f>SUM(L44:L112)</f>
        <v>6880261.1899999995</v>
      </c>
      <c r="N113" s="22">
        <f>SUM(N44:N112)</f>
        <v>22367938.810000002</v>
      </c>
      <c r="P113" s="22">
        <f>SUM(P44:P112)</f>
        <v>29248200</v>
      </c>
      <c r="R113" s="22">
        <f>SUM(R44:R112)</f>
        <v>10554200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8" s="7" customFormat="1" ht="12.75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  <c r="J129" s="7">
        <v>74.88</v>
      </c>
      <c r="L129" s="7">
        <v>22201.11</v>
      </c>
      <c r="N129" s="7">
        <f t="shared" ref="N129:N146" si="5">P129-L129</f>
        <v>177798.89</v>
      </c>
      <c r="P129" s="7">
        <v>200000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  <c r="N130" s="7">
        <f t="shared" si="5"/>
        <v>0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  <c r="N131" s="7">
        <f t="shared" si="5"/>
        <v>0</v>
      </c>
    </row>
    <row r="132" spans="1:18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si="5"/>
        <v>0</v>
      </c>
      <c r="R132" s="7">
        <v>70000</v>
      </c>
    </row>
    <row r="133" spans="1:18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5"/>
        <v>0</v>
      </c>
    </row>
    <row r="134" spans="1:18" s="7" customFormat="1" ht="12.75" hidden="1" customHeight="1" x14ac:dyDescent="0.2">
      <c r="A134" s="66" t="s">
        <v>101</v>
      </c>
      <c r="B134" s="42"/>
      <c r="C134" s="42"/>
      <c r="E134" s="14">
        <v>1</v>
      </c>
      <c r="F134" s="83" t="s">
        <v>93</v>
      </c>
      <c r="G134" s="16" t="s">
        <v>54</v>
      </c>
      <c r="H134" s="84" t="s">
        <v>102</v>
      </c>
      <c r="N134" s="36">
        <f t="shared" si="5"/>
        <v>0</v>
      </c>
    </row>
    <row r="135" spans="1:1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si="5"/>
        <v>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  <c r="R136" s="7">
        <v>250000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>
        <f t="shared" si="5"/>
        <v>0</v>
      </c>
      <c r="R146" s="7">
        <f>150000+50000</f>
        <v>200000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74.88</v>
      </c>
      <c r="K149" s="23"/>
      <c r="L149" s="21">
        <f>SUM(L128:L143)</f>
        <v>22201.11</v>
      </c>
      <c r="N149" s="21">
        <f>SUM(N128:N148)</f>
        <v>177798.89</v>
      </c>
      <c r="P149" s="21">
        <f>SUM(P128:P146)</f>
        <v>200000</v>
      </c>
      <c r="R149" s="21">
        <f>SUM(R128:R148)</f>
        <v>520000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48868411.779999994</v>
      </c>
      <c r="K151" s="23"/>
      <c r="L151" s="29">
        <f>L41+L113+L124+L149</f>
        <v>22172372.579999998</v>
      </c>
      <c r="N151" s="29">
        <f>N41+N113+N124+N149</f>
        <v>52823781.260000005</v>
      </c>
      <c r="P151" s="29">
        <f>P41+P113+P124+P149</f>
        <v>74996153.840000004</v>
      </c>
      <c r="R151" s="29">
        <f>SUM(R41+R113+R149)</f>
        <v>51658040.929999992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321" t="s">
        <v>133</v>
      </c>
      <c r="B153" s="321"/>
      <c r="C153" s="321"/>
      <c r="D153" s="33"/>
      <c r="E153" s="32"/>
      <c r="G153" s="31"/>
      <c r="I153" s="31"/>
      <c r="J153" s="321" t="s">
        <v>276</v>
      </c>
      <c r="K153" s="321"/>
      <c r="L153" s="321"/>
      <c r="M153" s="47"/>
      <c r="N153" s="49"/>
      <c r="O153" s="49"/>
      <c r="P153" s="311" t="s">
        <v>135</v>
      </c>
      <c r="Q153" s="311"/>
      <c r="R153" s="311"/>
    </row>
    <row r="154" spans="1:18" x14ac:dyDescent="0.2">
      <c r="A154" s="50"/>
      <c r="D154" s="33"/>
      <c r="E154" s="51"/>
      <c r="G154" s="31"/>
      <c r="I154" s="31"/>
      <c r="J154" s="154"/>
      <c r="M154" s="154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54"/>
      <c r="M155" s="154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322" t="s">
        <v>277</v>
      </c>
      <c r="B157" s="322"/>
      <c r="C157" s="322"/>
      <c r="D157" s="55"/>
      <c r="E157" s="56"/>
      <c r="G157" s="31"/>
      <c r="I157" s="31"/>
      <c r="J157" s="322" t="s">
        <v>291</v>
      </c>
      <c r="K157" s="322"/>
      <c r="L157" s="322"/>
      <c r="M157" s="57"/>
      <c r="N157" s="59"/>
      <c r="O157" s="59"/>
      <c r="P157" s="312" t="s">
        <v>137</v>
      </c>
      <c r="Q157" s="312"/>
      <c r="R157" s="312"/>
    </row>
    <row r="158" spans="1:18" x14ac:dyDescent="0.2">
      <c r="A158" s="321" t="s">
        <v>295</v>
      </c>
      <c r="B158" s="321"/>
      <c r="C158" s="321"/>
      <c r="D158" s="31"/>
      <c r="E158" s="32"/>
      <c r="G158" s="31"/>
      <c r="I158" s="31"/>
      <c r="J158" s="321" t="s">
        <v>269</v>
      </c>
      <c r="K158" s="321"/>
      <c r="L158" s="321"/>
      <c r="M158" s="33"/>
      <c r="N158" s="35"/>
      <c r="O158" s="35"/>
      <c r="P158" s="313" t="s">
        <v>139</v>
      </c>
      <c r="Q158" s="313"/>
      <c r="R158" s="313"/>
    </row>
  </sheetData>
  <customSheetViews>
    <customSheetView guid="{1998FCB8-1FEB-4076-ACE6-A225EE4366B3}" showPageBreaks="1" printArea="1" hiddenRows="1" view="pageBreakPreview">
      <pane xSplit="1" ySplit="13" topLeftCell="B108" activePane="bottomRight" state="frozen"/>
      <selection pane="bottomRight" activeCell="N20" sqref="N2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39" activePane="bottomRight" state="frozen"/>
      <selection pane="bottomRight" activeCell="N61" sqref="N6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26" activePane="bottomRight" state="frozen"/>
      <selection pane="bottomRight" activeCell="R146" sqref="R146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3:R153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3:C153"/>
    <mergeCell ref="J153:L153"/>
    <mergeCell ref="A157:C157"/>
    <mergeCell ref="J157:L157"/>
    <mergeCell ref="P157:R157"/>
    <mergeCell ref="A158:C158"/>
    <mergeCell ref="J158:L158"/>
    <mergeCell ref="P158:R158"/>
  </mergeCells>
  <printOptions horizontalCentered="1"/>
  <pageMargins left="0.75" right="0.5" top="1" bottom="1" header="0.75" footer="0.5"/>
  <pageSetup paperSize="5" scale="90" orientation="landscape" horizontalDpi="4294967293" verticalDpi="300" r:id="rId4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69</vt:i4>
      </vt:variant>
    </vt:vector>
  </HeadingPairs>
  <TitlesOfParts>
    <vt:vector size="105" baseType="lpstr">
      <vt:lpstr>1011 GPS FINAL</vt:lpstr>
      <vt:lpstr>1011</vt:lpstr>
      <vt:lpstr>1011 GPS</vt:lpstr>
      <vt:lpstr>1011 ES</vt:lpstr>
      <vt:lpstr>1011 SS</vt:lpstr>
      <vt:lpstr>1021</vt:lpstr>
      <vt:lpstr>1022</vt:lpstr>
      <vt:lpstr>1031</vt:lpstr>
      <vt:lpstr>1031 GPS</vt:lpstr>
      <vt:lpstr>1031 ES</vt:lpstr>
      <vt:lpstr>1031 SS</vt:lpstr>
      <vt:lpstr>1032</vt:lpstr>
      <vt:lpstr>1041</vt:lpstr>
      <vt:lpstr>1061</vt:lpstr>
      <vt:lpstr>1071</vt:lpstr>
      <vt:lpstr>1081</vt:lpstr>
      <vt:lpstr>1091</vt:lpstr>
      <vt:lpstr>1101</vt:lpstr>
      <vt:lpstr>1131</vt:lpstr>
      <vt:lpstr>7611</vt:lpstr>
      <vt:lpstr>8711</vt:lpstr>
      <vt:lpstr>8721</vt:lpstr>
      <vt:lpstr>8751</vt:lpstr>
      <vt:lpstr>4421</vt:lpstr>
      <vt:lpstr>4411</vt:lpstr>
      <vt:lpstr>3361 (1)</vt:lpstr>
      <vt:lpstr>3361 (2)</vt:lpstr>
      <vt:lpstr>1999-GPS</vt:lpstr>
      <vt:lpstr>GF-Infra Social 3999-49-69</vt:lpstr>
      <vt:lpstr>GF-Infra Economic 8752-53</vt:lpstr>
      <vt:lpstr>20% Social 4918-6918</vt:lpstr>
      <vt:lpstr>20% Economic 8918</vt:lpstr>
      <vt:lpstr>1201</vt:lpstr>
      <vt:lpstr>9940</vt:lpstr>
      <vt:lpstr>9999</vt:lpstr>
      <vt:lpstr>Form 1. AB Summary Report 2021</vt:lpstr>
      <vt:lpstr>'1011'!Print_Area</vt:lpstr>
      <vt:lpstr>'1011 ES'!Print_Area</vt:lpstr>
      <vt:lpstr>'1011 GPS'!Print_Area</vt:lpstr>
      <vt:lpstr>'1011 GPS FINAL'!Print_Area</vt:lpstr>
      <vt:lpstr>'1011 SS'!Print_Area</vt:lpstr>
      <vt:lpstr>'1021'!Print_Area</vt:lpstr>
      <vt:lpstr>'1022'!Print_Area</vt:lpstr>
      <vt:lpstr>'1031'!Print_Area</vt:lpstr>
      <vt:lpstr>'1031 ES'!Print_Area</vt:lpstr>
      <vt:lpstr>'1031 GPS'!Print_Area</vt:lpstr>
      <vt:lpstr>'1031 SS'!Print_Area</vt:lpstr>
      <vt:lpstr>'1032'!Print_Area</vt:lpstr>
      <vt:lpstr>'1041'!Print_Area</vt:lpstr>
      <vt:lpstr>'1061'!Print_Area</vt:lpstr>
      <vt:lpstr>'1071'!Print_Area</vt:lpstr>
      <vt:lpstr>'1081'!Print_Area</vt:lpstr>
      <vt:lpstr>'1091'!Print_Area</vt:lpstr>
      <vt:lpstr>'1101'!Print_Area</vt:lpstr>
      <vt:lpstr>'1131'!Print_Area</vt:lpstr>
      <vt:lpstr>'1201'!Print_Area</vt:lpstr>
      <vt:lpstr>'1999-GPS'!Print_Area</vt:lpstr>
      <vt:lpstr>'20% Economic 8918'!Print_Area</vt:lpstr>
      <vt:lpstr>'20% Social 4918-6918'!Print_Area</vt:lpstr>
      <vt:lpstr>'3361 (2)'!Print_Area</vt:lpstr>
      <vt:lpstr>'4411'!Print_Area</vt:lpstr>
      <vt:lpstr>'4421'!Print_Area</vt:lpstr>
      <vt:lpstr>'7611'!Print_Area</vt:lpstr>
      <vt:lpstr>'8711'!Print_Area</vt:lpstr>
      <vt:lpstr>'8721'!Print_Area</vt:lpstr>
      <vt:lpstr>'8751'!Print_Area</vt:lpstr>
      <vt:lpstr>'9940'!Print_Area</vt:lpstr>
      <vt:lpstr>'9999'!Print_Area</vt:lpstr>
      <vt:lpstr>'GF-Infra Economic 8752-53'!Print_Area</vt:lpstr>
      <vt:lpstr>'GF-Infra Social 3999-49-69'!Print_Area</vt:lpstr>
      <vt:lpstr>'1011'!Print_Titles</vt:lpstr>
      <vt:lpstr>'1011 ES'!Print_Titles</vt:lpstr>
      <vt:lpstr>'1011 GPS'!Print_Titles</vt:lpstr>
      <vt:lpstr>'1011 GPS FINAL'!Print_Titles</vt:lpstr>
      <vt:lpstr>'1011 SS'!Print_Titles</vt:lpstr>
      <vt:lpstr>'1021'!Print_Titles</vt:lpstr>
      <vt:lpstr>'1022'!Print_Titles</vt:lpstr>
      <vt:lpstr>'1031'!Print_Titles</vt:lpstr>
      <vt:lpstr>'1031 ES'!Print_Titles</vt:lpstr>
      <vt:lpstr>'1031 GPS'!Print_Titles</vt:lpstr>
      <vt:lpstr>'1031 SS'!Print_Titles</vt:lpstr>
      <vt:lpstr>'1032'!Print_Titles</vt:lpstr>
      <vt:lpstr>'1041'!Print_Titles</vt:lpstr>
      <vt:lpstr>'1061'!Print_Titles</vt:lpstr>
      <vt:lpstr>'1071'!Print_Titles</vt:lpstr>
      <vt:lpstr>'1081'!Print_Titles</vt:lpstr>
      <vt:lpstr>'1091'!Print_Titles</vt:lpstr>
      <vt:lpstr>'1101'!Print_Titles</vt:lpstr>
      <vt:lpstr>'1131'!Print_Titles</vt:lpstr>
      <vt:lpstr>'1201'!Print_Titles</vt:lpstr>
      <vt:lpstr>'1999-GPS'!Print_Titles</vt:lpstr>
      <vt:lpstr>'20% Economic 8918'!Print_Titles</vt:lpstr>
      <vt:lpstr>'20% Social 4918-6918'!Print_Titles</vt:lpstr>
      <vt:lpstr>'3361 (1)'!Print_Titles</vt:lpstr>
      <vt:lpstr>'3361 (2)'!Print_Titles</vt:lpstr>
      <vt:lpstr>'4411'!Print_Titles</vt:lpstr>
      <vt:lpstr>'4421'!Print_Titles</vt:lpstr>
      <vt:lpstr>'7611'!Print_Titles</vt:lpstr>
      <vt:lpstr>'8711'!Print_Titles</vt:lpstr>
      <vt:lpstr>'8721'!Print_Titles</vt:lpstr>
      <vt:lpstr>'8751'!Print_Titles</vt:lpstr>
      <vt:lpstr>'9940'!Print_Titles</vt:lpstr>
      <vt:lpstr>'9999'!Print_Titles</vt:lpstr>
      <vt:lpstr>'GF-Infra Economic 8752-53'!Print_Titles</vt:lpstr>
      <vt:lpstr>'GF-Infra Social 3999-49-69'!Print_Titles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Computer</cp:lastModifiedBy>
  <cp:lastPrinted>2020-12-18T03:10:21Z</cp:lastPrinted>
  <dcterms:created xsi:type="dcterms:W3CDTF">2016-07-12T02:13:36Z</dcterms:created>
  <dcterms:modified xsi:type="dcterms:W3CDTF">2021-06-10T07:06:03Z</dcterms:modified>
</cp:coreProperties>
</file>